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i.potskhverashvili\Desktop\გამჭვირვალობა ახალი\pilar 3 (new forms)\IV q 2023\"/>
    </mc:Choice>
  </mc:AlternateContent>
  <xr:revisionPtr revIDLastSave="0" documentId="13_ncr:1_{156A242D-31E8-41E8-B974-376DD1E12478}" xr6:coauthVersionLast="47" xr6:coauthVersionMax="47" xr10:uidLastSave="{00000000-0000-0000-0000-000000000000}"/>
  <bookViews>
    <workbookView xWindow="-120" yWindow="-120" windowWidth="29040" windowHeight="15840" tabRatio="952" activeTab="1" xr2:uid="{52C86AA1-4A89-43C1-ADC3-52FA1F4C03B5}"/>
  </bookViews>
  <sheets>
    <sheet name="Info" sheetId="1" r:id="rId1"/>
    <sheet name="1. key ratios" sheetId="2" r:id="rId2"/>
    <sheet name="2. SOFP" sheetId="3" r:id="rId3"/>
    <sheet name="3. SOPL" sheetId="4" r:id="rId4"/>
    <sheet name="4. Off-balance" sheetId="5" r:id="rId5"/>
    <sheet name="5. RWA" sheetId="6" r:id="rId6"/>
    <sheet name="6. Administrators-shareholders" sheetId="7" r:id="rId7"/>
    <sheet name="7. LI1" sheetId="8" r:id="rId8"/>
    <sheet name="8. LI2" sheetId="9" r:id="rId9"/>
    <sheet name="9. Capital" sheetId="10" r:id="rId10"/>
    <sheet name="9.1. Capital Requirements" sheetId="11" r:id="rId11"/>
    <sheet name="10. CC2" sheetId="12" r:id="rId12"/>
    <sheet name="11. CRWA" sheetId="13" r:id="rId13"/>
    <sheet name="12. CRM" sheetId="14" r:id="rId14"/>
    <sheet name="13. CRME" sheetId="15" r:id="rId15"/>
    <sheet name="14. LCR" sheetId="16" r:id="rId16"/>
    <sheet name="15. CCR" sheetId="17" r:id="rId17"/>
    <sheet name="15.1. LR" sheetId="18" r:id="rId18"/>
    <sheet name="16. NSFR" sheetId="19" r:id="rId19"/>
    <sheet name=" 17. Residual Maturity" sheetId="20" r:id="rId20"/>
    <sheet name="18. Assets by Exposure classes" sheetId="21" r:id="rId21"/>
    <sheet name="19. Assets by Risk Sectors" sheetId="22" r:id="rId22"/>
    <sheet name="20. Reserves" sheetId="23" r:id="rId23"/>
    <sheet name="21. NPL" sheetId="24" r:id="rId24"/>
    <sheet name="22. Quality" sheetId="25" r:id="rId25"/>
    <sheet name="23. LTV" sheetId="26" r:id="rId26"/>
    <sheet name="24. Risk Sector" sheetId="27" r:id="rId27"/>
    <sheet name="25. Collateral" sheetId="28" r:id="rId28"/>
    <sheet name="26. Retail Products" sheetId="29" r:id="rId29"/>
  </sheets>
  <definedNames>
    <definedName name="_cur1">#REF!</definedName>
    <definedName name="_cur2">#REF!</definedName>
    <definedName name="_xlnm._FilterDatabase" localSheetId="9" hidden="1">'9. Capital'!$A$5:$F$53</definedName>
    <definedName name="_Key1" hidden="1">#REF!</definedName>
    <definedName name="_Order1" hidden="1">255</definedName>
    <definedName name="_Order2" hidden="1">255</definedName>
    <definedName name="_Parse_In" hidden="1">#REF!</definedName>
    <definedName name="_Sort" hidden="1">#REF!</definedName>
    <definedName name="_sum1">#REF!</definedName>
    <definedName name="_sum2">#REF!</definedName>
    <definedName name="a" hidden="1">#REF!</definedName>
    <definedName name="aaaaaaaaa" hidden="1">#REF!</definedName>
    <definedName name="ACC_BALACC" localSheetId="19">#REF!</definedName>
    <definedName name="ACC_BALACC" localSheetId="2">#REF!</definedName>
    <definedName name="ACC_BALACC" localSheetId="23">#REF!</definedName>
    <definedName name="ACC_BALACC" localSheetId="24">#REF!</definedName>
    <definedName name="ACC_BALACC" localSheetId="25">#REF!</definedName>
    <definedName name="ACC_BALACC" localSheetId="26">#REF!</definedName>
    <definedName name="ACC_BALACC" localSheetId="3">#REF!</definedName>
    <definedName name="ACC_BALACC" localSheetId="4">#REF!</definedName>
    <definedName name="ACC_BALACC" localSheetId="10">#REF!</definedName>
    <definedName name="ACC_BALACC">#REF!</definedName>
    <definedName name="ACC_CRS" localSheetId="19">#REF!</definedName>
    <definedName name="ACC_CRS" localSheetId="2">#REF!</definedName>
    <definedName name="ACC_CRS" localSheetId="23">#REF!</definedName>
    <definedName name="ACC_CRS" localSheetId="24">#REF!</definedName>
    <definedName name="ACC_CRS" localSheetId="25">#REF!</definedName>
    <definedName name="ACC_CRS" localSheetId="26">#REF!</definedName>
    <definedName name="ACC_CRS" localSheetId="3">#REF!</definedName>
    <definedName name="ACC_CRS" localSheetId="4">#REF!</definedName>
    <definedName name="ACC_CRS" localSheetId="10">#REF!</definedName>
    <definedName name="ACC_CRS">#REF!</definedName>
    <definedName name="ACC_DBS" localSheetId="19">#REF!</definedName>
    <definedName name="ACC_DBS" localSheetId="2">#REF!</definedName>
    <definedName name="ACC_DBS" localSheetId="23">#REF!</definedName>
    <definedName name="ACC_DBS" localSheetId="24">#REF!</definedName>
    <definedName name="ACC_DBS" localSheetId="25">#REF!</definedName>
    <definedName name="ACC_DBS" localSheetId="26">#REF!</definedName>
    <definedName name="ACC_DBS" localSheetId="3">#REF!</definedName>
    <definedName name="ACC_DBS" localSheetId="4">#REF!</definedName>
    <definedName name="ACC_DBS" localSheetId="10">#REF!</definedName>
    <definedName name="ACC_DBS">#REF!</definedName>
    <definedName name="ACC_ISO" localSheetId="19">#REF!</definedName>
    <definedName name="ACC_ISO" localSheetId="2">#REF!</definedName>
    <definedName name="ACC_ISO" localSheetId="23">#REF!</definedName>
    <definedName name="ACC_ISO" localSheetId="24">#REF!</definedName>
    <definedName name="ACC_ISO" localSheetId="25">#REF!</definedName>
    <definedName name="ACC_ISO" localSheetId="26">#REF!</definedName>
    <definedName name="ACC_ISO" localSheetId="3">#REF!</definedName>
    <definedName name="ACC_ISO" localSheetId="4">#REF!</definedName>
    <definedName name="ACC_ISO" localSheetId="10">#REF!</definedName>
    <definedName name="ACC_ISO">#REF!</definedName>
    <definedName name="ACC_SALDO" localSheetId="19">#REF!</definedName>
    <definedName name="ACC_SALDO" localSheetId="2">#REF!</definedName>
    <definedName name="ACC_SALDO" localSheetId="23">#REF!</definedName>
    <definedName name="ACC_SALDO" localSheetId="24">#REF!</definedName>
    <definedName name="ACC_SALDO" localSheetId="25">#REF!</definedName>
    <definedName name="ACC_SALDO" localSheetId="26">#REF!</definedName>
    <definedName name="ACC_SALDO" localSheetId="3">#REF!</definedName>
    <definedName name="ACC_SALDO" localSheetId="4">#REF!</definedName>
    <definedName name="ACC_SALDO" localSheetId="10">#REF!</definedName>
    <definedName name="ACC_SALDO">#REF!</definedName>
    <definedName name="acctype">#REF!</definedName>
    <definedName name="ana" hidden="1">#REF!</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BA_Demand_Deposits_Res_Ind">#REF!</definedName>
    <definedName name="BALACC">#REF!</definedName>
    <definedName name="BG_Del" hidden="1">15</definedName>
    <definedName name="BG_Ins" hidden="1">4</definedName>
    <definedName name="BG_Mod" hidden="1">6</definedName>
    <definedName name="BS_BALACC" localSheetId="19">#REF!</definedName>
    <definedName name="BS_BALACC" localSheetId="2">#REF!</definedName>
    <definedName name="BS_BALACC" localSheetId="23">#REF!</definedName>
    <definedName name="BS_BALACC" localSheetId="24">#REF!</definedName>
    <definedName name="BS_BALACC" localSheetId="25">#REF!</definedName>
    <definedName name="BS_BALACC" localSheetId="26">#REF!</definedName>
    <definedName name="BS_BALACC" localSheetId="3">#REF!</definedName>
    <definedName name="BS_BALACC" localSheetId="4">#REF!</definedName>
    <definedName name="BS_BALACC" localSheetId="10">#REF!</definedName>
    <definedName name="BS_BALACC">#REF!</definedName>
    <definedName name="BS_BALANCE" localSheetId="19">#REF!</definedName>
    <definedName name="BS_BALANCE" localSheetId="2">#REF!</definedName>
    <definedName name="BS_BALANCE" localSheetId="23">#REF!</definedName>
    <definedName name="BS_BALANCE" localSheetId="24">#REF!</definedName>
    <definedName name="BS_BALANCE" localSheetId="25">#REF!</definedName>
    <definedName name="BS_BALANCE" localSheetId="26">#REF!</definedName>
    <definedName name="BS_BALANCE" localSheetId="3">#REF!</definedName>
    <definedName name="BS_BALANCE" localSheetId="4">#REF!</definedName>
    <definedName name="BS_BALANCE" localSheetId="10">#REF!</definedName>
    <definedName name="BS_BALANCE">#REF!</definedName>
    <definedName name="BS_CR" localSheetId="19">#REF!</definedName>
    <definedName name="BS_CR" localSheetId="2">#REF!</definedName>
    <definedName name="BS_CR" localSheetId="23">#REF!</definedName>
    <definedName name="BS_CR" localSheetId="24">#REF!</definedName>
    <definedName name="BS_CR" localSheetId="25">#REF!</definedName>
    <definedName name="BS_CR" localSheetId="26">#REF!</definedName>
    <definedName name="BS_CR" localSheetId="3">#REF!</definedName>
    <definedName name="BS_CR" localSheetId="4">#REF!</definedName>
    <definedName name="BS_CR" localSheetId="10">#REF!</definedName>
    <definedName name="BS_CR">#REF!</definedName>
    <definedName name="BS_CR_EQU" localSheetId="19">#REF!</definedName>
    <definedName name="BS_CR_EQU" localSheetId="2">#REF!</definedName>
    <definedName name="BS_CR_EQU" localSheetId="23">#REF!</definedName>
    <definedName name="BS_CR_EQU" localSheetId="24">#REF!</definedName>
    <definedName name="BS_CR_EQU" localSheetId="25">#REF!</definedName>
    <definedName name="BS_CR_EQU" localSheetId="26">#REF!</definedName>
    <definedName name="BS_CR_EQU" localSheetId="3">#REF!</definedName>
    <definedName name="BS_CR_EQU" localSheetId="4">#REF!</definedName>
    <definedName name="BS_CR_EQU" localSheetId="10">#REF!</definedName>
    <definedName name="BS_CR_EQU">#REF!</definedName>
    <definedName name="BS_DB" localSheetId="19">#REF!</definedName>
    <definedName name="BS_DB" localSheetId="2">#REF!</definedName>
    <definedName name="BS_DB" localSheetId="23">#REF!</definedName>
    <definedName name="BS_DB" localSheetId="24">#REF!</definedName>
    <definedName name="BS_DB" localSheetId="25">#REF!</definedName>
    <definedName name="BS_DB" localSheetId="26">#REF!</definedName>
    <definedName name="BS_DB" localSheetId="3">#REF!</definedName>
    <definedName name="BS_DB" localSheetId="4">#REF!</definedName>
    <definedName name="BS_DB" localSheetId="10">#REF!</definedName>
    <definedName name="BS_DB">#REF!</definedName>
    <definedName name="BS_DB_EQU" localSheetId="19">#REF!</definedName>
    <definedName name="BS_DB_EQU" localSheetId="2">#REF!</definedName>
    <definedName name="BS_DB_EQU" localSheetId="23">#REF!</definedName>
    <definedName name="BS_DB_EQU" localSheetId="24">#REF!</definedName>
    <definedName name="BS_DB_EQU" localSheetId="25">#REF!</definedName>
    <definedName name="BS_DB_EQU" localSheetId="26">#REF!</definedName>
    <definedName name="BS_DB_EQU" localSheetId="3">#REF!</definedName>
    <definedName name="BS_DB_EQU" localSheetId="4">#REF!</definedName>
    <definedName name="BS_DB_EQU" localSheetId="10">#REF!</definedName>
    <definedName name="BS_DB_EQU">#REF!</definedName>
    <definedName name="BS_DT" localSheetId="19">#REF!</definedName>
    <definedName name="BS_DT" localSheetId="2">#REF!</definedName>
    <definedName name="BS_DT" localSheetId="23">#REF!</definedName>
    <definedName name="BS_DT" localSheetId="24">#REF!</definedName>
    <definedName name="BS_DT" localSheetId="25">#REF!</definedName>
    <definedName name="BS_DT" localSheetId="26">#REF!</definedName>
    <definedName name="BS_DT" localSheetId="3">#REF!</definedName>
    <definedName name="BS_DT" localSheetId="4">#REF!</definedName>
    <definedName name="BS_DT" localSheetId="10">#REF!</definedName>
    <definedName name="BS_DT">#REF!</definedName>
    <definedName name="BS_ISO" localSheetId="19">#REF!</definedName>
    <definedName name="BS_ISO" localSheetId="2">#REF!</definedName>
    <definedName name="BS_ISO" localSheetId="23">#REF!</definedName>
    <definedName name="BS_ISO" localSheetId="24">#REF!</definedName>
    <definedName name="BS_ISO" localSheetId="25">#REF!</definedName>
    <definedName name="BS_ISO" localSheetId="26">#REF!</definedName>
    <definedName name="BS_ISO" localSheetId="3">#REF!</definedName>
    <definedName name="BS_ISO" localSheetId="4">#REF!</definedName>
    <definedName name="BS_ISO" localSheetId="10">#REF!</definedName>
    <definedName name="BS_ISO">#REF!</definedName>
    <definedName name="call">#REF!</definedName>
    <definedName name="convert">#REF!</definedName>
    <definedName name="Countries">#REF!</definedName>
    <definedName name="currencies">#REF!</definedName>
    <definedName name="CurrencyCodes">#REF!</definedName>
    <definedName name="CurrentDate" localSheetId="19">#REF!</definedName>
    <definedName name="CurrentDate" localSheetId="2">#REF!</definedName>
    <definedName name="CurrentDate" localSheetId="23">#REF!</definedName>
    <definedName name="CurrentDate" localSheetId="24">#REF!</definedName>
    <definedName name="CurrentDate" localSheetId="25">#REF!</definedName>
    <definedName name="CurrentDate" localSheetId="26">#REF!</definedName>
    <definedName name="CurrentDate" localSheetId="3">#REF!</definedName>
    <definedName name="CurrentDate" localSheetId="4">#REF!</definedName>
    <definedName name="CurrentDate" localSheetId="10">#REF!</definedName>
    <definedName name="CurrentDate">#REF!</definedName>
    <definedName name="date">#REF!</definedName>
    <definedName name="date1">#REF!</definedName>
    <definedName name="dependency">#REF!</definedName>
    <definedName name="dfgdfg">#REF!</definedName>
    <definedName name="dfgh" hidden="1">#REF!</definedName>
    <definedName name="fghgh">#REF!</definedName>
    <definedName name="fintype">#REF!</definedName>
    <definedName name="fvgfbv">#REF!</definedName>
    <definedName name="hjhhjhj">#REF!</definedName>
    <definedName name="jgjhg" hidden="1">#REF!</definedName>
    <definedName name="jgjhg1" hidden="1">#REF!</definedName>
    <definedName name="L_FORMULAS_GEO">#REF!</definedName>
    <definedName name="LDtype">#REF!</definedName>
    <definedName name="NDtype">#REF!</definedName>
    <definedName name="ÓÓÓÓÓÓÓÓ" hidden="1">#REF!</definedName>
    <definedName name="ÓÓÓÓÓÓÓÓÓÓÓÓÓÓÓ" hidden="1">#REF!</definedName>
    <definedName name="Q" hidden="1">#REF!</definedName>
    <definedName name="S">#REF!</definedName>
    <definedName name="sdsss" hidden="1">#REF!</definedName>
    <definedName name="Sheet">#REF!</definedName>
    <definedName name="ss" hidden="1">#REF!</definedName>
    <definedName name="sub">#REF!</definedName>
    <definedName name="TextRefCopyRangeCount" hidden="1">3</definedName>
    <definedName name="v">#REF!</definedName>
    <definedName name="wrn.Aging._.and._.Trend._.Analysis." hidden="1">{#N/A,#N/A,FALSE,"Aging Summary";#N/A,#N/A,FALSE,"Ratio Analysis";#N/A,#N/A,FALSE,"Test 120 Day Accts";#N/A,#N/A,FALSE,"Tickmarks"}</definedName>
    <definedName name="YesNo">#REF!</definedName>
    <definedName name="z">#REF!</definedName>
    <definedName name="ა">#REF!</definedName>
    <definedName name="აა" hidden="1">#REF!</definedName>
    <definedName name="ს" hidden="1">#REF!</definedName>
    <definedName name="საკრედიტო">#REF!</definedName>
    <definedName name="სსს" hidden="1">#REF!</definedName>
    <definedName name="ფაილი">#REF!</definedName>
    <definedName name="ცვლილება_კორექტირება_რეგულაციაში">#REF!</definedName>
    <definedName name="ჯ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0" i="29" l="1"/>
  <c r="I20" i="29"/>
  <c r="N18" i="29"/>
  <c r="I18" i="29"/>
  <c r="D18" i="29"/>
  <c r="N17" i="29"/>
  <c r="I17" i="29"/>
  <c r="D17" i="29"/>
  <c r="S23" i="29"/>
  <c r="N16" i="29"/>
  <c r="I16" i="29"/>
  <c r="D16" i="29"/>
  <c r="N15" i="29"/>
  <c r="I15" i="29"/>
  <c r="D15" i="29"/>
  <c r="N14" i="29"/>
  <c r="I14" i="29"/>
  <c r="D14" i="29"/>
  <c r="N13" i="29"/>
  <c r="I13" i="29"/>
  <c r="D13" i="29"/>
  <c r="N12" i="29"/>
  <c r="I12" i="29"/>
  <c r="D12" i="29"/>
  <c r="N11" i="29"/>
  <c r="I11" i="29"/>
  <c r="D11" i="29"/>
  <c r="N10" i="29"/>
  <c r="I10" i="29"/>
  <c r="D10" i="29"/>
  <c r="N9" i="29"/>
  <c r="I9" i="29"/>
  <c r="D9" i="29"/>
  <c r="N8" i="29"/>
  <c r="I8" i="29"/>
  <c r="D8" i="29"/>
  <c r="R23" i="29"/>
  <c r="Q19" i="29"/>
  <c r="Q23" i="29" s="1"/>
  <c r="P19" i="29"/>
  <c r="P23" i="29" s="1"/>
  <c r="O19" i="29"/>
  <c r="L19" i="29"/>
  <c r="K19" i="29"/>
  <c r="J19" i="29"/>
  <c r="G19" i="29"/>
  <c r="F19" i="29"/>
  <c r="E19" i="29"/>
  <c r="C2" i="29"/>
  <c r="C1" i="29"/>
  <c r="B2" i="28"/>
  <c r="B1" i="28"/>
  <c r="L33" i="27"/>
  <c r="G33" i="27"/>
  <c r="K33" i="27"/>
  <c r="J33" i="27"/>
  <c r="I33" i="27"/>
  <c r="H33" i="27"/>
  <c r="F33" i="27"/>
  <c r="E33" i="27"/>
  <c r="D33" i="27"/>
  <c r="C33" i="27"/>
  <c r="B2" i="27"/>
  <c r="B1" i="27"/>
  <c r="C20" i="26"/>
  <c r="C19" i="26"/>
  <c r="C18" i="26"/>
  <c r="S16" i="26"/>
  <c r="R16" i="26"/>
  <c r="O16" i="26"/>
  <c r="N16" i="26"/>
  <c r="K16" i="26"/>
  <c r="J16" i="26"/>
  <c r="G16" i="26"/>
  <c r="F16" i="26"/>
  <c r="C17" i="26"/>
  <c r="C16" i="26" s="1"/>
  <c r="Q16" i="26"/>
  <c r="P16" i="26"/>
  <c r="M16" i="26"/>
  <c r="L16" i="26"/>
  <c r="I16" i="26"/>
  <c r="H16" i="26"/>
  <c r="E16" i="26"/>
  <c r="D16" i="26"/>
  <c r="B2" i="26"/>
  <c r="B1" i="26"/>
  <c r="C17" i="25"/>
  <c r="C15" i="25" s="1"/>
  <c r="D15" i="25"/>
  <c r="Q8" i="25"/>
  <c r="C12" i="25"/>
  <c r="C11" i="25"/>
  <c r="C10" i="25"/>
  <c r="C9" i="25"/>
  <c r="AA8" i="25"/>
  <c r="Z8" i="25"/>
  <c r="Y8" i="25"/>
  <c r="X8" i="25"/>
  <c r="W8" i="25"/>
  <c r="V8" i="25"/>
  <c r="U8" i="25"/>
  <c r="T8" i="25"/>
  <c r="S8" i="25"/>
  <c r="P8" i="25"/>
  <c r="O8" i="25"/>
  <c r="K8" i="25"/>
  <c r="G8" i="25"/>
  <c r="B2" i="25"/>
  <c r="B1" i="25"/>
  <c r="B2" i="24"/>
  <c r="B1" i="24"/>
  <c r="D10" i="23"/>
  <c r="C11" i="23"/>
  <c r="C10" i="23" s="1"/>
  <c r="C7" i="23"/>
  <c r="D7" i="23"/>
  <c r="D15" i="23" s="1"/>
  <c r="B2" i="23"/>
  <c r="B1" i="23"/>
  <c r="G34" i="22"/>
  <c r="G14" i="21" s="1"/>
  <c r="G22" i="21" s="1"/>
  <c r="F34" i="22"/>
  <c r="H32" i="22"/>
  <c r="H31" i="22"/>
  <c r="H30" i="22"/>
  <c r="H29" i="22"/>
  <c r="H28" i="22"/>
  <c r="H27" i="22"/>
  <c r="H26" i="22"/>
  <c r="H25" i="22"/>
  <c r="H24" i="22"/>
  <c r="H23" i="22"/>
  <c r="H22" i="22"/>
  <c r="H21" i="22"/>
  <c r="H20" i="22"/>
  <c r="H19" i="22"/>
  <c r="H18" i="22"/>
  <c r="H17" i="22"/>
  <c r="H16" i="22"/>
  <c r="H15" i="22"/>
  <c r="H14" i="22"/>
  <c r="H13" i="22"/>
  <c r="H12" i="22"/>
  <c r="H11" i="22"/>
  <c r="H10" i="22"/>
  <c r="H9" i="22"/>
  <c r="H8" i="22"/>
  <c r="H7" i="22"/>
  <c r="B2" i="22"/>
  <c r="B1" i="22"/>
  <c r="H23" i="21"/>
  <c r="F22" i="21"/>
  <c r="F21" i="21"/>
  <c r="H20" i="21"/>
  <c r="E20" i="21"/>
  <c r="E33" i="22" s="1"/>
  <c r="E34" i="22" s="1"/>
  <c r="H19" i="21"/>
  <c r="H18" i="21"/>
  <c r="H17" i="21"/>
  <c r="H16" i="21"/>
  <c r="H15" i="21"/>
  <c r="H14" i="21"/>
  <c r="H12" i="21"/>
  <c r="H11" i="21"/>
  <c r="H10" i="21"/>
  <c r="H9" i="21"/>
  <c r="H8" i="21"/>
  <c r="H7" i="21"/>
  <c r="D21" i="21"/>
  <c r="B2" i="21"/>
  <c r="B1" i="21"/>
  <c r="H20" i="20"/>
  <c r="H19" i="20"/>
  <c r="H18" i="20"/>
  <c r="H17" i="20"/>
  <c r="H16" i="20"/>
  <c r="H15" i="20"/>
  <c r="H13" i="20"/>
  <c r="H12" i="20"/>
  <c r="H11" i="20"/>
  <c r="H10" i="20"/>
  <c r="H9" i="20"/>
  <c r="B2" i="20"/>
  <c r="B1" i="20"/>
  <c r="G36" i="19"/>
  <c r="D33" i="19"/>
  <c r="G34" i="19"/>
  <c r="E33" i="19"/>
  <c r="G31" i="19"/>
  <c r="G26" i="19"/>
  <c r="G24" i="19" s="1"/>
  <c r="F24" i="19"/>
  <c r="E24" i="19"/>
  <c r="D24" i="19"/>
  <c r="C24" i="19"/>
  <c r="G19" i="19"/>
  <c r="F18" i="19"/>
  <c r="E18" i="19"/>
  <c r="D18" i="19"/>
  <c r="E14" i="19"/>
  <c r="F14" i="19"/>
  <c r="L13" i="19"/>
  <c r="C11" i="19"/>
  <c r="F11" i="19"/>
  <c r="D11" i="19"/>
  <c r="G10" i="19"/>
  <c r="E8" i="19"/>
  <c r="D8" i="19"/>
  <c r="B2" i="19"/>
  <c r="B1" i="19"/>
  <c r="C30" i="18"/>
  <c r="C26" i="18"/>
  <c r="B2" i="18"/>
  <c r="B1" i="18"/>
  <c r="M21" i="17"/>
  <c r="L21" i="17"/>
  <c r="H21" i="17"/>
  <c r="N20" i="17"/>
  <c r="N19" i="17"/>
  <c r="E19" i="17"/>
  <c r="N18" i="17"/>
  <c r="E18" i="17"/>
  <c r="N17" i="17"/>
  <c r="E17" i="17"/>
  <c r="E14" i="17" s="1"/>
  <c r="N16" i="17"/>
  <c r="E16" i="17"/>
  <c r="N15" i="17"/>
  <c r="E15" i="17"/>
  <c r="M14" i="17"/>
  <c r="L14" i="17"/>
  <c r="K14" i="17"/>
  <c r="J14" i="17"/>
  <c r="I14" i="17"/>
  <c r="I21" i="17" s="1"/>
  <c r="H14" i="17"/>
  <c r="G14" i="17"/>
  <c r="F14" i="17"/>
  <c r="C14" i="17"/>
  <c r="N13" i="17"/>
  <c r="N12" i="17"/>
  <c r="E12" i="17"/>
  <c r="N11" i="17"/>
  <c r="E11" i="17"/>
  <c r="N10" i="17"/>
  <c r="E10" i="17"/>
  <c r="N9" i="17"/>
  <c r="E9" i="17"/>
  <c r="M7" i="17"/>
  <c r="L7" i="17"/>
  <c r="J7" i="17"/>
  <c r="J21" i="17" s="1"/>
  <c r="I7" i="17"/>
  <c r="H7" i="17"/>
  <c r="G7" i="17"/>
  <c r="G21" i="17" s="1"/>
  <c r="F7" i="17"/>
  <c r="F21" i="17" s="1"/>
  <c r="B2" i="17"/>
  <c r="B1" i="17"/>
  <c r="K23" i="16"/>
  <c r="J23" i="16"/>
  <c r="J25" i="16" s="1"/>
  <c r="I23" i="16"/>
  <c r="I25" i="16" s="1"/>
  <c r="G23" i="16"/>
  <c r="F23" i="16"/>
  <c r="J21" i="16"/>
  <c r="I21" i="16"/>
  <c r="H21" i="16"/>
  <c r="G21" i="16"/>
  <c r="G24" i="16" s="1"/>
  <c r="G25" i="16" s="1"/>
  <c r="F21" i="16"/>
  <c r="D21" i="16"/>
  <c r="C21" i="16"/>
  <c r="K20" i="16"/>
  <c r="H20" i="16"/>
  <c r="E20" i="16"/>
  <c r="K19" i="16"/>
  <c r="H19" i="16"/>
  <c r="E19" i="16"/>
  <c r="K18" i="16"/>
  <c r="K21" i="16" s="1"/>
  <c r="H18" i="16"/>
  <c r="E18" i="16"/>
  <c r="J16" i="16"/>
  <c r="I16" i="16"/>
  <c r="G16" i="16"/>
  <c r="F16" i="16"/>
  <c r="E16" i="16"/>
  <c r="D16" i="16"/>
  <c r="C16" i="16"/>
  <c r="K15" i="16"/>
  <c r="H15" i="16"/>
  <c r="E15" i="16"/>
  <c r="K14" i="16"/>
  <c r="H14" i="16"/>
  <c r="E14" i="16"/>
  <c r="K13" i="16"/>
  <c r="H13" i="16"/>
  <c r="E13" i="16"/>
  <c r="K12" i="16"/>
  <c r="H12" i="16"/>
  <c r="E12" i="16"/>
  <c r="K11" i="16"/>
  <c r="K16" i="16" s="1"/>
  <c r="K24" i="16" s="1"/>
  <c r="H11" i="16"/>
  <c r="E11" i="16"/>
  <c r="K10" i="16"/>
  <c r="H10" i="16"/>
  <c r="E10" i="16"/>
  <c r="K8" i="16"/>
  <c r="H8" i="16"/>
  <c r="H23" i="16" s="1"/>
  <c r="B2" i="16"/>
  <c r="B1" i="16"/>
  <c r="H21" i="15"/>
  <c r="H20" i="15"/>
  <c r="H19" i="15"/>
  <c r="H18" i="15"/>
  <c r="H17" i="15"/>
  <c r="H16" i="15"/>
  <c r="D22" i="15"/>
  <c r="H13" i="15"/>
  <c r="H12" i="15"/>
  <c r="H11" i="15"/>
  <c r="H10" i="15"/>
  <c r="H9" i="15"/>
  <c r="F22" i="15"/>
  <c r="B2" i="15"/>
  <c r="B1" i="15"/>
  <c r="U21" i="14"/>
  <c r="T21" i="14"/>
  <c r="S21" i="14"/>
  <c r="R21" i="14"/>
  <c r="Q21" i="14"/>
  <c r="P21" i="14"/>
  <c r="O21" i="14"/>
  <c r="N21" i="14"/>
  <c r="M21" i="14"/>
  <c r="L21" i="14"/>
  <c r="K21" i="14"/>
  <c r="J21" i="14"/>
  <c r="I21" i="14"/>
  <c r="H21" i="14"/>
  <c r="G21" i="14"/>
  <c r="F21" i="14"/>
  <c r="E21" i="14"/>
  <c r="D21" i="14"/>
  <c r="C21" i="14"/>
  <c r="V20" i="14"/>
  <c r="V19" i="14"/>
  <c r="V18" i="14"/>
  <c r="V17" i="14"/>
  <c r="V16" i="14"/>
  <c r="V15" i="14"/>
  <c r="V14" i="14"/>
  <c r="V13" i="14"/>
  <c r="V12" i="14"/>
  <c r="V11" i="14"/>
  <c r="V10" i="14"/>
  <c r="V9" i="14"/>
  <c r="V8" i="14"/>
  <c r="V7" i="14"/>
  <c r="B2" i="14"/>
  <c r="B1" i="14"/>
  <c r="R22" i="13"/>
  <c r="P22" i="13"/>
  <c r="N22" i="13"/>
  <c r="L22" i="13"/>
  <c r="J22" i="13"/>
  <c r="H22" i="13"/>
  <c r="F22" i="13"/>
  <c r="D22" i="13"/>
  <c r="S21" i="13"/>
  <c r="S18" i="13"/>
  <c r="S16" i="13"/>
  <c r="S15" i="13"/>
  <c r="S14" i="13"/>
  <c r="S13" i="13"/>
  <c r="S11" i="13"/>
  <c r="K22" i="13"/>
  <c r="C22" i="13"/>
  <c r="S9" i="13"/>
  <c r="O22" i="13"/>
  <c r="G22" i="13"/>
  <c r="B2" i="13"/>
  <c r="B1" i="13"/>
  <c r="B2" i="12"/>
  <c r="B1" i="12"/>
  <c r="C21" i="11"/>
  <c r="C20" i="11"/>
  <c r="C19" i="11"/>
  <c r="B2" i="11"/>
  <c r="B1" i="11"/>
  <c r="C48" i="10"/>
  <c r="C44" i="10"/>
  <c r="C53" i="10" s="1"/>
  <c r="C36" i="10"/>
  <c r="C32" i="10"/>
  <c r="B2" i="10"/>
  <c r="B1" i="10"/>
  <c r="B2" i="9"/>
  <c r="B1" i="9"/>
  <c r="D31" i="8"/>
  <c r="D25" i="8"/>
  <c r="D20" i="8"/>
  <c r="D16" i="8"/>
  <c r="D8" i="8"/>
  <c r="B2" i="8"/>
  <c r="B1" i="8"/>
  <c r="B2" i="7"/>
  <c r="B1" i="7"/>
  <c r="G6" i="6"/>
  <c r="F6" i="6"/>
  <c r="F13" i="6" s="1"/>
  <c r="E6" i="6"/>
  <c r="E13" i="6" s="1"/>
  <c r="D6" i="6"/>
  <c r="D13" i="6" s="1"/>
  <c r="C6" i="6"/>
  <c r="B2" i="6"/>
  <c r="F5" i="6" s="1"/>
  <c r="B1" i="6"/>
  <c r="H43" i="5"/>
  <c r="E43" i="5"/>
  <c r="H42" i="5"/>
  <c r="E42" i="5"/>
  <c r="H41" i="5"/>
  <c r="E41" i="5"/>
  <c r="H40" i="5"/>
  <c r="E40" i="5"/>
  <c r="H39" i="5"/>
  <c r="E39" i="5"/>
  <c r="G38" i="5"/>
  <c r="F38" i="5"/>
  <c r="H38" i="5" s="1"/>
  <c r="E38" i="5"/>
  <c r="D38" i="5"/>
  <c r="C38" i="5"/>
  <c r="H37" i="5"/>
  <c r="E37" i="5"/>
  <c r="H36" i="5"/>
  <c r="E36" i="5"/>
  <c r="H35" i="5"/>
  <c r="E35" i="5"/>
  <c r="H34" i="5"/>
  <c r="E34" i="5"/>
  <c r="H33" i="5"/>
  <c r="E33" i="5"/>
  <c r="H32" i="5"/>
  <c r="E32" i="5"/>
  <c r="H31" i="5"/>
  <c r="E31" i="5"/>
  <c r="G30" i="5"/>
  <c r="F30" i="5"/>
  <c r="H30" i="5" s="1"/>
  <c r="E30" i="5"/>
  <c r="D30" i="5"/>
  <c r="C30" i="5"/>
  <c r="H29" i="5"/>
  <c r="E29" i="5"/>
  <c r="H28" i="5"/>
  <c r="E28" i="5"/>
  <c r="H27" i="5"/>
  <c r="H26" i="5"/>
  <c r="E26" i="5"/>
  <c r="H25" i="5"/>
  <c r="H24" i="5"/>
  <c r="E24" i="5"/>
  <c r="H23" i="5"/>
  <c r="H22" i="5"/>
  <c r="E22" i="5"/>
  <c r="H21" i="5"/>
  <c r="H20" i="5"/>
  <c r="E20" i="5"/>
  <c r="H19" i="5"/>
  <c r="D17" i="5"/>
  <c r="C17" i="5"/>
  <c r="E17" i="5" s="1"/>
  <c r="H18" i="5"/>
  <c r="E18" i="5"/>
  <c r="H17" i="5"/>
  <c r="H16" i="5"/>
  <c r="E16" i="5"/>
  <c r="D14" i="5"/>
  <c r="F14" i="5"/>
  <c r="H13" i="5"/>
  <c r="E13" i="5"/>
  <c r="E12" i="5"/>
  <c r="G11" i="5"/>
  <c r="D11" i="5"/>
  <c r="C11" i="5"/>
  <c r="E11" i="5" s="1"/>
  <c r="H10" i="5"/>
  <c r="E10" i="5"/>
  <c r="G8" i="5"/>
  <c r="D8" i="5"/>
  <c r="F8" i="5"/>
  <c r="H8" i="5" s="1"/>
  <c r="H7" i="5"/>
  <c r="E7" i="5"/>
  <c r="H6" i="5"/>
  <c r="E6" i="5"/>
  <c r="B2" i="5"/>
  <c r="B1" i="5"/>
  <c r="H44" i="4"/>
  <c r="E44" i="4"/>
  <c r="H42" i="4"/>
  <c r="E42" i="4"/>
  <c r="H41" i="4"/>
  <c r="E41" i="4"/>
  <c r="H40" i="4"/>
  <c r="E40" i="4"/>
  <c r="G37" i="4"/>
  <c r="H38" i="4"/>
  <c r="E38" i="4"/>
  <c r="F37" i="4"/>
  <c r="D37" i="4"/>
  <c r="H36" i="4"/>
  <c r="E36" i="4"/>
  <c r="G34" i="4"/>
  <c r="F34" i="4"/>
  <c r="H34" i="4" s="1"/>
  <c r="D34" i="4"/>
  <c r="H33" i="4"/>
  <c r="E33" i="4"/>
  <c r="H32" i="4"/>
  <c r="E32" i="4"/>
  <c r="G29" i="4"/>
  <c r="H31" i="4"/>
  <c r="E31" i="4"/>
  <c r="H30" i="4"/>
  <c r="E30" i="4"/>
  <c r="D29" i="4"/>
  <c r="F29" i="4"/>
  <c r="C29" i="4"/>
  <c r="E29" i="4" s="1"/>
  <c r="H28" i="4"/>
  <c r="E28" i="4"/>
  <c r="H26" i="4"/>
  <c r="E26" i="4"/>
  <c r="H25" i="4"/>
  <c r="H24" i="4"/>
  <c r="E24" i="4"/>
  <c r="H23" i="4"/>
  <c r="E23" i="4"/>
  <c r="H22" i="4"/>
  <c r="E22" i="4"/>
  <c r="H21" i="4"/>
  <c r="E21" i="4"/>
  <c r="H20" i="4"/>
  <c r="E20" i="4"/>
  <c r="H19" i="4"/>
  <c r="H18" i="4"/>
  <c r="E18" i="4"/>
  <c r="H17" i="4"/>
  <c r="E17" i="4"/>
  <c r="H16" i="4"/>
  <c r="E16" i="4"/>
  <c r="H15" i="4"/>
  <c r="E15" i="4"/>
  <c r="H14" i="4"/>
  <c r="E14" i="4"/>
  <c r="G13" i="4"/>
  <c r="D13" i="4"/>
  <c r="C13" i="4"/>
  <c r="H12" i="4"/>
  <c r="E12" i="4"/>
  <c r="D6" i="4"/>
  <c r="H10" i="4"/>
  <c r="E10" i="4"/>
  <c r="H9" i="4"/>
  <c r="E9" i="4"/>
  <c r="H8" i="4"/>
  <c r="E8" i="4"/>
  <c r="H7" i="4"/>
  <c r="E7" i="4"/>
  <c r="F6" i="4"/>
  <c r="B2" i="4"/>
  <c r="B1" i="4"/>
  <c r="G68" i="3"/>
  <c r="H67" i="3"/>
  <c r="E67" i="3"/>
  <c r="H66" i="3"/>
  <c r="E66" i="3"/>
  <c r="C66" i="12" s="1"/>
  <c r="H65" i="3"/>
  <c r="E65" i="3"/>
  <c r="C65" i="12" s="1"/>
  <c r="H64" i="3"/>
  <c r="H63" i="3"/>
  <c r="F63" i="3"/>
  <c r="D63" i="3"/>
  <c r="C63" i="3"/>
  <c r="E63" i="3" s="1"/>
  <c r="H62" i="3"/>
  <c r="E62" i="3"/>
  <c r="C62" i="12" s="1"/>
  <c r="H61" i="3"/>
  <c r="E61" i="3"/>
  <c r="C61" i="12" s="1"/>
  <c r="H60" i="3"/>
  <c r="E60" i="3"/>
  <c r="C60" i="12" s="1"/>
  <c r="H59" i="3"/>
  <c r="D59" i="3"/>
  <c r="D68" i="3" s="1"/>
  <c r="C59" i="3"/>
  <c r="E59" i="3" s="1"/>
  <c r="H58" i="3"/>
  <c r="E58" i="3"/>
  <c r="C58" i="12" s="1"/>
  <c r="H57" i="3"/>
  <c r="E57" i="3"/>
  <c r="C57" i="12" s="1"/>
  <c r="H56" i="3"/>
  <c r="E56" i="3"/>
  <c r="C56" i="12" s="1"/>
  <c r="H55" i="3"/>
  <c r="F68" i="3"/>
  <c r="H52" i="3"/>
  <c r="E52" i="3"/>
  <c r="C52" i="12" s="1"/>
  <c r="H51" i="3"/>
  <c r="E51" i="3"/>
  <c r="H50" i="3"/>
  <c r="H49" i="3"/>
  <c r="D47" i="3"/>
  <c r="H48" i="3"/>
  <c r="C47" i="3"/>
  <c r="G47" i="3"/>
  <c r="E46" i="3"/>
  <c r="C45" i="12" s="1"/>
  <c r="H45" i="3"/>
  <c r="E45" i="3"/>
  <c r="C44" i="12" s="1"/>
  <c r="H44" i="3"/>
  <c r="E44" i="3"/>
  <c r="C43" i="12" s="1"/>
  <c r="H43" i="3"/>
  <c r="E43" i="3"/>
  <c r="H42" i="3"/>
  <c r="C41" i="3"/>
  <c r="F41" i="3"/>
  <c r="H40" i="3"/>
  <c r="E40" i="3"/>
  <c r="C39" i="12" s="1"/>
  <c r="F38" i="3"/>
  <c r="C38" i="3"/>
  <c r="H35" i="3"/>
  <c r="E35" i="3"/>
  <c r="C36" i="8" s="1"/>
  <c r="E36" i="8" s="1"/>
  <c r="H34" i="3"/>
  <c r="E34" i="3"/>
  <c r="C35" i="8" s="1"/>
  <c r="H33" i="3"/>
  <c r="H32" i="3"/>
  <c r="E32" i="3"/>
  <c r="C33" i="8" s="1"/>
  <c r="C31" i="12" s="1"/>
  <c r="H31" i="3"/>
  <c r="E31" i="3"/>
  <c r="C32" i="8" s="1"/>
  <c r="C30" i="3"/>
  <c r="E30" i="3" s="1"/>
  <c r="G30" i="3"/>
  <c r="D30" i="3"/>
  <c r="H29" i="3"/>
  <c r="C27" i="3"/>
  <c r="H28" i="3"/>
  <c r="E28" i="3"/>
  <c r="C29" i="8" s="1"/>
  <c r="G27" i="3"/>
  <c r="H27" i="3"/>
  <c r="D27" i="3"/>
  <c r="H26" i="3"/>
  <c r="E26" i="3"/>
  <c r="C27" i="8" s="1"/>
  <c r="E27" i="8" s="1"/>
  <c r="C25" i="12" s="1"/>
  <c r="E25" i="3"/>
  <c r="C35" i="19" s="1"/>
  <c r="G24" i="3"/>
  <c r="G36" i="3" s="1"/>
  <c r="D24" i="3"/>
  <c r="H23" i="3"/>
  <c r="H22" i="3"/>
  <c r="E22" i="3"/>
  <c r="C23" i="8" s="1"/>
  <c r="E23" i="8" s="1"/>
  <c r="H21" i="3"/>
  <c r="E21" i="3"/>
  <c r="H20" i="3"/>
  <c r="C19" i="3"/>
  <c r="G19" i="3"/>
  <c r="F19" i="3"/>
  <c r="H19" i="3" s="1"/>
  <c r="D19" i="3"/>
  <c r="H18" i="3"/>
  <c r="E18" i="3"/>
  <c r="C19" i="8" s="1"/>
  <c r="E19" i="8" s="1"/>
  <c r="C17" i="12" s="1"/>
  <c r="H17" i="3"/>
  <c r="E17" i="3"/>
  <c r="C18" i="8" s="1"/>
  <c r="E18" i="8" s="1"/>
  <c r="C16" i="12" s="1"/>
  <c r="H16" i="3"/>
  <c r="E16" i="3"/>
  <c r="C17" i="8" s="1"/>
  <c r="G15" i="3"/>
  <c r="D15" i="3"/>
  <c r="C15" i="3"/>
  <c r="H14" i="3"/>
  <c r="E14" i="3"/>
  <c r="C15" i="8" s="1"/>
  <c r="E15" i="8" s="1"/>
  <c r="C13" i="12" s="1"/>
  <c r="H13" i="3"/>
  <c r="E13" i="3"/>
  <c r="C14" i="8" s="1"/>
  <c r="E14" i="8" s="1"/>
  <c r="C12" i="12" s="1"/>
  <c r="H12" i="3"/>
  <c r="G11" i="3"/>
  <c r="F11" i="3"/>
  <c r="H11" i="3" s="1"/>
  <c r="C11" i="3"/>
  <c r="E10" i="3"/>
  <c r="C11" i="8" s="1"/>
  <c r="E11" i="8" s="1"/>
  <c r="C9" i="12" s="1"/>
  <c r="H9" i="3"/>
  <c r="E9" i="3"/>
  <c r="G7" i="3"/>
  <c r="D7" i="3"/>
  <c r="C7" i="3"/>
  <c r="F7" i="3"/>
  <c r="H7" i="3" s="1"/>
  <c r="B2" i="3"/>
  <c r="B1" i="3"/>
  <c r="G5" i="2"/>
  <c r="F5" i="2"/>
  <c r="E5" i="2"/>
  <c r="D5" i="2"/>
  <c r="B1" i="2"/>
  <c r="C13" i="24" l="1"/>
  <c r="C10" i="24" s="1"/>
  <c r="C18" i="24" s="1"/>
  <c r="C15" i="23"/>
  <c r="G5" i="6"/>
  <c r="E29" i="3"/>
  <c r="C30" i="8" s="1"/>
  <c r="C53" i="3"/>
  <c r="C69" i="3" s="1"/>
  <c r="E19" i="3"/>
  <c r="C24" i="3"/>
  <c r="E24" i="3" s="1"/>
  <c r="F30" i="3"/>
  <c r="H30" i="3" s="1"/>
  <c r="H39" i="3"/>
  <c r="E8" i="3"/>
  <c r="H10" i="3"/>
  <c r="D41" i="3"/>
  <c r="E41" i="3" s="1"/>
  <c r="E55" i="3"/>
  <c r="E64" i="3"/>
  <c r="C64" i="12" s="1"/>
  <c r="C34" i="12"/>
  <c r="E5" i="6"/>
  <c r="C5" i="6"/>
  <c r="D5" i="6"/>
  <c r="C27" i="12"/>
  <c r="E29" i="8"/>
  <c r="C10" i="8"/>
  <c r="E10" i="8" s="1"/>
  <c r="C8" i="12" s="1"/>
  <c r="C22" i="8"/>
  <c r="C33" i="19"/>
  <c r="F33" i="19"/>
  <c r="E32" i="8"/>
  <c r="C30" i="12"/>
  <c r="C29" i="12" s="1"/>
  <c r="C31" i="8"/>
  <c r="E23" i="3"/>
  <c r="E42" i="3"/>
  <c r="E49" i="3"/>
  <c r="C59" i="12"/>
  <c r="C67" i="12"/>
  <c r="H6" i="4"/>
  <c r="E13" i="4"/>
  <c r="E7" i="3"/>
  <c r="D11" i="3"/>
  <c r="E15" i="3"/>
  <c r="E27" i="3"/>
  <c r="E33" i="3"/>
  <c r="D38" i="3"/>
  <c r="G41" i="3"/>
  <c r="H41" i="3" s="1"/>
  <c r="E47" i="3"/>
  <c r="E50" i="3"/>
  <c r="G6" i="4"/>
  <c r="G43" i="4" s="1"/>
  <c r="G45" i="4" s="1"/>
  <c r="H11" i="4"/>
  <c r="E19" i="4"/>
  <c r="E25" i="4"/>
  <c r="E27" i="4"/>
  <c r="E39" i="4"/>
  <c r="C37" i="4"/>
  <c r="C8" i="17"/>
  <c r="C7" i="9"/>
  <c r="F25" i="16"/>
  <c r="C8" i="18"/>
  <c r="H8" i="3"/>
  <c r="E12" i="3"/>
  <c r="F15" i="3"/>
  <c r="H15" i="3" s="1"/>
  <c r="E17" i="8"/>
  <c r="C16" i="8"/>
  <c r="E20" i="3"/>
  <c r="H25" i="3"/>
  <c r="F24" i="3"/>
  <c r="H24" i="3" s="1"/>
  <c r="E35" i="8"/>
  <c r="C33" i="12"/>
  <c r="G38" i="3"/>
  <c r="E39" i="3"/>
  <c r="H46" i="3"/>
  <c r="F47" i="3"/>
  <c r="H47" i="3" s="1"/>
  <c r="E48" i="3"/>
  <c r="C55" i="12"/>
  <c r="H68" i="3"/>
  <c r="D43" i="4"/>
  <c r="D45" i="4" s="1"/>
  <c r="H27" i="4"/>
  <c r="C26" i="8"/>
  <c r="C21" i="20"/>
  <c r="C9" i="8"/>
  <c r="D16" i="19"/>
  <c r="C42" i="12"/>
  <c r="E11" i="4"/>
  <c r="C6" i="4"/>
  <c r="K25" i="16"/>
  <c r="C51" i="12"/>
  <c r="H29" i="4"/>
  <c r="E35" i="4"/>
  <c r="C34" i="4"/>
  <c r="E34" i="4" s="1"/>
  <c r="C63" i="12"/>
  <c r="H15" i="15"/>
  <c r="C22" i="15"/>
  <c r="N14" i="17"/>
  <c r="H37" i="4"/>
  <c r="H12" i="5"/>
  <c r="F11" i="5"/>
  <c r="H11" i="5" s="1"/>
  <c r="E21" i="5"/>
  <c r="E25" i="5"/>
  <c r="C13" i="6"/>
  <c r="D21" i="11" s="1"/>
  <c r="E22" i="13"/>
  <c r="M22" i="13"/>
  <c r="E22" i="15"/>
  <c r="H14" i="15"/>
  <c r="G14" i="5"/>
  <c r="H14" i="5" s="1"/>
  <c r="D27" i="25"/>
  <c r="E33" i="8"/>
  <c r="C68" i="3"/>
  <c r="F13" i="4"/>
  <c r="H13" i="4" s="1"/>
  <c r="H35" i="4"/>
  <c r="H39" i="4"/>
  <c r="E9" i="5"/>
  <c r="C8" i="5"/>
  <c r="E8" i="5" s="1"/>
  <c r="H9" i="5"/>
  <c r="E15" i="5"/>
  <c r="C14" i="5"/>
  <c r="E14" i="5" s="1"/>
  <c r="H15" i="5"/>
  <c r="E19" i="5"/>
  <c r="E23" i="5"/>
  <c r="E27" i="5"/>
  <c r="G13" i="6"/>
  <c r="C31" i="10"/>
  <c r="I22" i="13"/>
  <c r="Q22" i="13"/>
  <c r="S17" i="13"/>
  <c r="S20" i="13"/>
  <c r="V21" i="14"/>
  <c r="H8" i="15"/>
  <c r="G22" i="15"/>
  <c r="E21" i="16"/>
  <c r="S10" i="13"/>
  <c r="S19" i="13"/>
  <c r="G9" i="19"/>
  <c r="G8" i="19" s="1"/>
  <c r="C8" i="19"/>
  <c r="G12" i="19"/>
  <c r="G22" i="20"/>
  <c r="H14" i="20"/>
  <c r="S12" i="13"/>
  <c r="F24" i="16"/>
  <c r="H16" i="16"/>
  <c r="H24" i="16" s="1"/>
  <c r="F8" i="19"/>
  <c r="G13" i="19"/>
  <c r="F22" i="20"/>
  <c r="D7" i="11"/>
  <c r="S8" i="13"/>
  <c r="E11" i="19"/>
  <c r="G16" i="19"/>
  <c r="E22" i="20"/>
  <c r="C22" i="21"/>
  <c r="C21" i="21"/>
  <c r="H8" i="20"/>
  <c r="G8" i="26"/>
  <c r="S8" i="26"/>
  <c r="H8" i="25"/>
  <c r="N8" i="25"/>
  <c r="D22" i="21"/>
  <c r="K8" i="26"/>
  <c r="J8" i="25"/>
  <c r="G21" i="21"/>
  <c r="O8" i="26"/>
  <c r="F8" i="25"/>
  <c r="D33" i="22"/>
  <c r="D34" i="22" s="1"/>
  <c r="L8" i="25"/>
  <c r="Q8" i="26"/>
  <c r="D19" i="29"/>
  <c r="R8" i="25"/>
  <c r="C14" i="25"/>
  <c r="P8" i="26"/>
  <c r="D7" i="29"/>
  <c r="I7" i="29"/>
  <c r="I19" i="29" s="1"/>
  <c r="N7" i="29"/>
  <c r="N19" i="29" s="1"/>
  <c r="C33" i="22"/>
  <c r="C34" i="22" s="1"/>
  <c r="E8" i="25"/>
  <c r="I8" i="25"/>
  <c r="M8" i="25"/>
  <c r="D8" i="11" l="1"/>
  <c r="D19" i="11"/>
  <c r="F36" i="3"/>
  <c r="H36" i="3" s="1"/>
  <c r="D14" i="19"/>
  <c r="C36" i="3"/>
  <c r="H34" i="22"/>
  <c r="G15" i="19"/>
  <c r="C14" i="19"/>
  <c r="D9" i="11"/>
  <c r="K8" i="28"/>
  <c r="C28" i="25"/>
  <c r="E68" i="3"/>
  <c r="C27" i="25"/>
  <c r="C22" i="25" s="1"/>
  <c r="D22" i="25"/>
  <c r="G20" i="19"/>
  <c r="G18" i="19" s="1"/>
  <c r="C18" i="19"/>
  <c r="C25" i="8"/>
  <c r="E26" i="8"/>
  <c r="C47" i="12"/>
  <c r="C21" i="8"/>
  <c r="C13" i="8"/>
  <c r="E13" i="8" s="1"/>
  <c r="C11" i="12" s="1"/>
  <c r="C11" i="9"/>
  <c r="D53" i="3"/>
  <c r="E38" i="3"/>
  <c r="C48" i="12"/>
  <c r="C24" i="8"/>
  <c r="E24" i="8" s="1"/>
  <c r="E31" i="8"/>
  <c r="R8" i="26"/>
  <c r="L8" i="26"/>
  <c r="H22" i="15"/>
  <c r="C38" i="12"/>
  <c r="C28" i="12"/>
  <c r="C26" i="12" s="1"/>
  <c r="D30" i="8"/>
  <c r="D28" i="8" s="1"/>
  <c r="D37" i="8" s="1"/>
  <c r="E8" i="17"/>
  <c r="C7" i="17"/>
  <c r="C49" i="12"/>
  <c r="E11" i="3"/>
  <c r="C20" i="12"/>
  <c r="E22" i="8"/>
  <c r="C28" i="8"/>
  <c r="C13" i="25"/>
  <c r="D8" i="25"/>
  <c r="C43" i="4"/>
  <c r="E6" i="4"/>
  <c r="M8" i="26"/>
  <c r="H8" i="26"/>
  <c r="G11" i="19"/>
  <c r="C42" i="10"/>
  <c r="C6" i="10"/>
  <c r="D11" i="11"/>
  <c r="D17" i="11"/>
  <c r="D16" i="11"/>
  <c r="D15" i="11"/>
  <c r="D13" i="11"/>
  <c r="D12" i="11"/>
  <c r="C8" i="8"/>
  <c r="E9" i="8"/>
  <c r="C68" i="12"/>
  <c r="H38" i="3"/>
  <c r="G53" i="3"/>
  <c r="G69" i="3" s="1"/>
  <c r="C15" i="12"/>
  <c r="C14" i="12" s="1"/>
  <c r="E16" i="8"/>
  <c r="E37" i="4"/>
  <c r="F53" i="3"/>
  <c r="C34" i="8"/>
  <c r="C41" i="12"/>
  <c r="C40" i="12" s="1"/>
  <c r="E8" i="26"/>
  <c r="J8" i="26"/>
  <c r="N8" i="26"/>
  <c r="I8" i="26"/>
  <c r="H33" i="22"/>
  <c r="E22" i="21"/>
  <c r="H22" i="21" s="1"/>
  <c r="E21" i="21"/>
  <c r="F8" i="26"/>
  <c r="H13" i="21"/>
  <c r="S22" i="13"/>
  <c r="H25" i="16"/>
  <c r="F43" i="4"/>
  <c r="D20" i="11"/>
  <c r="C22" i="20"/>
  <c r="D22" i="20"/>
  <c r="G35" i="19"/>
  <c r="D36" i="3"/>
  <c r="E36" i="3" s="1"/>
  <c r="E30" i="8" l="1"/>
  <c r="E28" i="8" s="1"/>
  <c r="G33" i="19"/>
  <c r="G37" i="19" s="1"/>
  <c r="C21" i="17"/>
  <c r="E25" i="8"/>
  <c r="C24" i="12"/>
  <c r="C23" i="12" s="1"/>
  <c r="E7" i="17"/>
  <c r="K8" i="17"/>
  <c r="C37" i="12"/>
  <c r="C10" i="9"/>
  <c r="C45" i="4"/>
  <c r="E43" i="4"/>
  <c r="D69" i="3"/>
  <c r="E53" i="3"/>
  <c r="H21" i="20"/>
  <c r="H43" i="4"/>
  <c r="F45" i="4"/>
  <c r="H45" i="4" s="1"/>
  <c r="D8" i="26"/>
  <c r="C8" i="25"/>
  <c r="C22" i="12"/>
  <c r="C46" i="12"/>
  <c r="C32" i="12"/>
  <c r="E34" i="8"/>
  <c r="C12" i="8"/>
  <c r="E12" i="8" s="1"/>
  <c r="C19" i="12"/>
  <c r="C18" i="12" s="1"/>
  <c r="C20" i="8"/>
  <c r="C37" i="8" s="1"/>
  <c r="E21" i="8"/>
  <c r="E20" i="8" s="1"/>
  <c r="H21" i="21"/>
  <c r="H53" i="3"/>
  <c r="F69" i="3"/>
  <c r="H69" i="3" s="1"/>
  <c r="C7" i="12"/>
  <c r="C6" i="12" s="1"/>
  <c r="E8" i="8"/>
  <c r="G14" i="19"/>
  <c r="G21" i="19" s="1"/>
  <c r="E45" i="4" l="1"/>
  <c r="E37" i="8"/>
  <c r="C8" i="26"/>
  <c r="E69" i="3"/>
  <c r="N8" i="17"/>
  <c r="K7" i="17"/>
  <c r="G39" i="19"/>
  <c r="K21" i="19"/>
  <c r="C10" i="12"/>
  <c r="C35" i="12" s="1"/>
  <c r="H22" i="20"/>
  <c r="C12" i="10"/>
  <c r="E21" i="17"/>
  <c r="C53" i="12"/>
  <c r="C69" i="12" l="1"/>
  <c r="C12" i="18"/>
  <c r="K21" i="17"/>
  <c r="K6" i="28"/>
  <c r="C5" i="9"/>
  <c r="C29" i="10"/>
  <c r="N7" i="17"/>
  <c r="N21" i="17" l="1"/>
  <c r="C8" i="9"/>
  <c r="C13" i="9" s="1"/>
  <c r="C18" i="18"/>
  <c r="C36" i="18" l="1"/>
  <c r="C35" i="18"/>
  <c r="C38" i="18" l="1"/>
</calcChain>
</file>

<file path=xl/sharedStrings.xml><?xml version="1.0" encoding="utf-8"?>
<sst xmlns="http://schemas.openxmlformats.org/spreadsheetml/2006/main" count="1218" uniqueCount="751">
  <si>
    <t>პილარ 3-ის კვარტალური ანგარიშგება</t>
  </si>
  <si>
    <t>ბანკის სრული დასახელება</t>
  </si>
  <si>
    <t>სს სილქ ბანკი</t>
  </si>
  <si>
    <t>ბანკის სამეთვალყურეო საბჭოს თავმჯდომარე</t>
  </si>
  <si>
    <t>ი. მანაგაძე</t>
  </si>
  <si>
    <t>ბანკის გენერალური დირექტორი</t>
  </si>
  <si>
    <t>ა.ხოროშვილი</t>
  </si>
  <si>
    <t>ბანკის ვებ-გვერდი</t>
  </si>
  <si>
    <t>www.silkbank.ge</t>
  </si>
  <si>
    <t>ბანკის დირექტორატი ადასტურებს მოცემულ პილარ 3-ის ანგარიშგებაში ასახული ყველა მონაცემისა და ინფორმაციის უტყუარობასა და სიზუსტეს. ანგარიშგება მომზადებულია სამეთვალყურეო საბჭოსთან შეთანხმებული შიდა კონტროლის პროცესების სრული დაცვით, წინამდებარე ანგარიშგება აკმაყოფილებს საქართველოს ეროვნული ბანკის პრეზიდენტის 2017 წლის აპრილის N92/04 ბრძანებით დამტკიცებული "კომერციული ბანკების მიერ პილარ 3-ის ფარგლებში ინფორმაციის გამჟღავნების  წესის" მოთხოვნებსა და საქართველოს ეროვნული ბანკის მიერ დადგენილ სხვა წესებსა და ნორმებს.</t>
  </si>
  <si>
    <t>ცხრილი N</t>
  </si>
  <si>
    <t>სარჩევი</t>
  </si>
  <si>
    <t>ძირითადი მაჩვენებლები</t>
  </si>
  <si>
    <t>საბალანსო უწყისი</t>
  </si>
  <si>
    <t>მოგება-ზარალის ანგარიშგება</t>
  </si>
  <si>
    <t xml:space="preserve">ბალანსგარეშე ანგარიშების უწყისი </t>
  </si>
  <si>
    <t>რისკის მიხედვით შეწონილი რისკის პოზიციები</t>
  </si>
  <si>
    <t>ინფორმაცია ბანკის სამეთვალყურეო საბჭოს, დირექტორატის და აქციონერთა შესახებ</t>
  </si>
  <si>
    <t>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t>
  </si>
  <si>
    <t>საბალანსო ელემენტების ღირებულებასა და  საკრედიტო რისკის მიხედვით შეწონვას დაქვემდებარებულ რისკის პოზიციებს შორის განსხვავებები</t>
  </si>
  <si>
    <t>საზედამხედველო კაპიტალი</t>
  </si>
  <si>
    <t>9.1</t>
  </si>
  <si>
    <t>კაპიტალის ადეკვატურობის მოთხოვნები</t>
  </si>
  <si>
    <t>საბალანსო უწყისისა და საზედამხედველო კაპიტალის ელემენტებს შორის კავშირები</t>
  </si>
  <si>
    <t>საკრედიტო რისკის მიხედვით შეწონილი რისკის პოზიციები</t>
  </si>
  <si>
    <t>საკრედიტო რისკის მიტიგაცია</t>
  </si>
  <si>
    <t>სტანდარტიზებული მიდგომა - საკრედიტო რისკის მიტიგაციის ეფექტი</t>
  </si>
  <si>
    <t>ლიკვიდობის გადაფარვის კოეფიციენტი</t>
  </si>
  <si>
    <t>კონტრაგენტთან დაკავშირებული საკრედიტო რისკის მიხედვით შეწონილი რისკის პოზიციები</t>
  </si>
  <si>
    <t>ლევერიჯის კოეფიციენტი</t>
  </si>
  <si>
    <t>წმინდა სტაბილური დაფინანსების კოეფიციენტი</t>
  </si>
  <si>
    <t>რისკის პოზიციის ღირებულება ნარჩენი ვადიანობის  და რისკის კლასების მიხედვით</t>
  </si>
  <si>
    <t>აქტივების, აქტივებზე მოსალოდნელი საკრედიტო ზარალის და ჩამოწერის განაწილება რისკის კლასების მიხედვით</t>
  </si>
  <si>
    <t>აქტივების, აქტივებზე მოსალოდნელი საკრედიტო ზარალის და ჩამოწერის განაწილება დაფარვის წყაროს სექტორების მიხედვით</t>
  </si>
  <si>
    <t>მოსალოდნელი საკრედიტო ზარალის ცვლილება სესხებზე და კორპორატიულ სავალო ფასიან ქაღალდებზე</t>
  </si>
  <si>
    <t>უმოქმედო სესხების ცვლილება</t>
  </si>
  <si>
    <t>სესხების, სავალო ფასიანი ქაღალდების და გარესაბალანსო ვალდებულებების განაწილება, საკრედიტო რისკის კატეგორიის, ვადაგადაცილების და მსესხებლის ტიპის მიხედვით</t>
  </si>
  <si>
    <t>სესხების, უზრუნველყოფის კოეფიციენტის მიხედვით განაწილებული სესხების, სესხებზე მოსალოდნელი საკრედიტო ზარალის, სესხებზე უზრუნველყოფის ღირებულების და გარანტიებით უზრუნველყოფილი სესხების განაწილება საკრედიტო რისკის კატეგორიისა და ვადაგადაცილების მიხედვით</t>
  </si>
  <si>
    <t>სესხების და სესხებზე მოსალოდნელი საკრედიტო ზარალის განაწილება, დაფარვის წყაროს სექტორების და საკრედიტო რისკის კატეგორიის მიხედვით</t>
  </si>
  <si>
    <t>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t>
  </si>
  <si>
    <t>ზოგადი და ხარისხობრივი ინფორმაცია საცალო პროდუქტებზე</t>
  </si>
  <si>
    <t>ბანკი:</t>
  </si>
  <si>
    <t>თარიღი:</t>
  </si>
  <si>
    <t>ცხრილი 1</t>
  </si>
  <si>
    <t>ფასს-ის საფუძელზე დაანგარიშებული რიცხვები</t>
  </si>
  <si>
    <t>"საქართველოს საბანკო დაწესებულებებისათვის ბუღალტრული აღრიცხვის ანგარიშთა გეგმის და ანგარიშთა გეგმის გამოყენების ინსტრუქციის“  შესაბამისად დაანგარიშებული რიცხვები</t>
  </si>
  <si>
    <t>N</t>
  </si>
  <si>
    <t>4Q-2022</t>
  </si>
  <si>
    <t>3Q-2022</t>
  </si>
  <si>
    <t>2Q-2022</t>
  </si>
  <si>
    <t>1Q-2022</t>
  </si>
  <si>
    <t>საზედამხედველო კაპიტალი (მოცულობა, ლარი)</t>
  </si>
  <si>
    <t>ბაზელ III-ზე დაფუძნებული ჩარჩოს მიხედვით</t>
  </si>
  <si>
    <t>ძირითადი პირველადი კაპიტალი</t>
  </si>
  <si>
    <t>პირველადი კაპიტალი</t>
  </si>
  <si>
    <t>ძირითადი პირველადი კაპიტალის ჯამური მოთხოვნა</t>
  </si>
  <si>
    <t>პირველადი კაპიტალის ჯამური მოთხოვნა</t>
  </si>
  <si>
    <t>საზედამხედველო კაპიტალის ჯამური მოთხოვნა</t>
  </si>
  <si>
    <t>რისკის მიხედვით შეწონილი მთლიანი რისკის პოზიციები (მოცულობა, ლარი)</t>
  </si>
  <si>
    <t>რისკის მიხედვით შეწონილი მთლიანი რისკის პოზიციები (ბაზელ III-ზე დაფუძნებული ჩარჩოს მიხედვით)</t>
  </si>
  <si>
    <t>კაპიტალის ადეკვატურობის კოეფიციენტები (%)</t>
  </si>
  <si>
    <t>ბაზელ III-ზე დაფუძნებული ჩარჩოს მიხედვით *</t>
  </si>
  <si>
    <t>ძირითადი პირველადი კაპიტალის კოეფიციენტი</t>
  </si>
  <si>
    <t>პირველადი კაპიტალის კოეფიციენტი</t>
  </si>
  <si>
    <t>საზედამხედველო კაპიტალის კოეფიციენტი</t>
  </si>
  <si>
    <t>მოგება</t>
  </si>
  <si>
    <t>მთლიანი საპროცენტო შემოსავლები / საშუალო წლიურ აქტივებთან</t>
  </si>
  <si>
    <t>მთლიანი საპროცენტო ხარჯები / საშუალო წლიურ აქტივებთან</t>
  </si>
  <si>
    <t>საოპერაციო შედეგი / საშუალო წლიურ აქტივებთან</t>
  </si>
  <si>
    <t>წმინდა საპროცენტო მარჟა</t>
  </si>
  <si>
    <t>უკუგება საშუალო აქტივებზე (ROA)</t>
  </si>
  <si>
    <t>უკუგება საშუალო კაპიტალზე (ROE)</t>
  </si>
  <si>
    <t>აქტივების ხარისხი</t>
  </si>
  <si>
    <t>უმოქმედო სესხები / მთლიან სესხებთან</t>
  </si>
  <si>
    <t>სშდრ / მთლიან სესხებთან</t>
  </si>
  <si>
    <t>უცხოური ვალუტით არსებული სესხები / მთლიან სესხებთან</t>
  </si>
  <si>
    <t>უცხოური ვალუტით არსებული აქტივები / მთლიან აქტივებთან</t>
  </si>
  <si>
    <t>მთლიანი სესხების წლიური ზრდის ტემპი</t>
  </si>
  <si>
    <t>ლიკვიდობა</t>
  </si>
  <si>
    <t>ლიკვიდური აქტივები / მთლიან აქტივებთან</t>
  </si>
  <si>
    <t>უცხოური ვალუტით არსებული ვალდებულებები / მთლიან ვალდებულებებთან</t>
  </si>
  <si>
    <t>მიმდინარე და მოთხოვნამდე დეპოზიტები / მთლიან აქტივებთან</t>
  </si>
  <si>
    <t>ლიკვიდობის გადაფარვის კოეფიციენტი ***</t>
  </si>
  <si>
    <t>მაღალი ხარისხის ლიკვიდური აქტივები (სულ)</t>
  </si>
  <si>
    <t>ფულის წმინდა გადინება (სულ)</t>
  </si>
  <si>
    <t>ლიკვიდობის გადაფარვის კოეფიციენტი (%)</t>
  </si>
  <si>
    <t>ხელმისაწვდომი სტაბილური დაფინანსება</t>
  </si>
  <si>
    <t>სტაბილური დაფინანსების საჭიროება</t>
  </si>
  <si>
    <t>წმინდა სტაბილური დაფინანსების კოეფიციენტი (%)</t>
  </si>
  <si>
    <t>* კონსერვაციის ბუფერის მოთხოვნის განულებასთან დაკავშირებით, იხილეთ ეროვნული ბანკის პრეს რელიზი "ეროვნული ბანკის საზედამხედველო გეგმა COVID-19-თან დაკავშირებით" ბმული: https://nbg.gov.ge/page/covid-19</t>
  </si>
  <si>
    <t>*** სებ-ის მეთოდოლოგიით გაანგარიშებული კოეფიციენტები, რომელიც ბაზელის მეთოდოლოგიისგან განსხვავებით, უფრო მეტადაა კონცენტრირებული ლოკალურ რისკებზე.
იხილეთ ცხრილი 14. LCR. აღნიშნული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</si>
  <si>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ფინანსური მდგომარეობის ანგარიშგება</t>
  </si>
  <si>
    <t>საანგარიშგებო პერიოდი</t>
  </si>
  <si>
    <t>წინა წლის შესაბამისი პერიოდი</t>
  </si>
  <si>
    <t>ლარი</t>
  </si>
  <si>
    <t>უცხ.ვალუტა</t>
  </si>
  <si>
    <t>სულ</t>
  </si>
  <si>
    <t>აქტივები</t>
  </si>
  <si>
    <t>ნაღდი ფული, ფულადი სახსრები საქართველოს ეროვნული ბანკში და სხვა ბანკებში</t>
  </si>
  <si>
    <t>ნაღდი ფული</t>
  </si>
  <si>
    <t>ფულადი სახსრები საქართველოს ეროვნულ ბანკში</t>
  </si>
  <si>
    <t>ფულადი სახსრები სხვა ბანკებში</t>
  </si>
  <si>
    <t>სავაჭროდ გამიზნული ფინანსური აქტივები</t>
  </si>
  <si>
    <t>მათ შორის: წარმოებული ფინანსური ინსტრუმენტები</t>
  </si>
  <si>
    <t>სავალდებულო წესით რეალური ღირებულებით შეფასებული არასავაჭრო ფინანსური ინსტრუმენტები მოგება-ზარალში ასახვით</t>
  </si>
  <si>
    <t>საკუთარი შეხედულებისამებრ რეალური ღირებულებით შეფასებული ფინანსური აქტივები, მოგება-ზარალში ასახვით</t>
  </si>
  <si>
    <t>რეალური ღირებულებით შეფასებული ფინანსური აქტივები, სხვა სრულ შემოსავალში ასახვით</t>
  </si>
  <si>
    <t>წილობრივი ინსტრუმენტები</t>
  </si>
  <si>
    <t>სავალო ფასიანი ქაღალდები</t>
  </si>
  <si>
    <t>გაცემული სესხები და მოთხოვნები</t>
  </si>
  <si>
    <t>ამორტიზებული ღირებულებით შეფასებული ფინანსური აქტივები</t>
  </si>
  <si>
    <t>ინვესტიციები შვილობილ, მეკავშირე და ერთობლივ საწარმოებში</t>
  </si>
  <si>
    <t>გასაყიდად გამიზნული გრძელვადიანი აქტივები და გამსვლელი ჯგუფები</t>
  </si>
  <si>
    <t>მატერიალური აქტივები</t>
  </si>
  <si>
    <t>ძირითადი საშუალებები</t>
  </si>
  <si>
    <t>საინვესტიციო ქონება</t>
  </si>
  <si>
    <t>არამატერიალური აქტივები</t>
  </si>
  <si>
    <t>გუდვილი</t>
  </si>
  <si>
    <t>სხვა არამატერიალური აქტივები</t>
  </si>
  <si>
    <t>საგადასახადო აქტივები</t>
  </si>
  <si>
    <t>მიმდინარე საგადასახადო აქტივები</t>
  </si>
  <si>
    <t>გადავადებული საგადასახადო აქტივები</t>
  </si>
  <si>
    <t>სხვა აქტივები</t>
  </si>
  <si>
    <t>მათ შორის: დასაკუთრებული ქონება</t>
  </si>
  <si>
    <t>მათ შორის: მისაღები დივიდენდები</t>
  </si>
  <si>
    <t>სულ აქტივები</t>
  </si>
  <si>
    <t>ვალდებულებები</t>
  </si>
  <si>
    <t>სავაჭროდ გამიზნული ფინანსური ვალდებულებები</t>
  </si>
  <si>
    <t>საკუთარი შეხედულებისამებრ რეალური ღირებულებით შეფასებული ფინანსური ვალდებულებები მოგება-ზარალში ასახვით</t>
  </si>
  <si>
    <t>ამორტიზებული ღირებულებით შეფასებული ფინანსური ვალდებულებები</t>
  </si>
  <si>
    <t>დეპოზიტები</t>
  </si>
  <si>
    <t>ნასესხები სახსრები</t>
  </si>
  <si>
    <t>გამოშვებული სავალო ფასიანი ქაღალდები</t>
  </si>
  <si>
    <t>სხვა ფინანსური ვალდებულებები</t>
  </si>
  <si>
    <t>ანარიცხები</t>
  </si>
  <si>
    <t>საგადასახადო ვალდებულებები</t>
  </si>
  <si>
    <t>მიმდინარე საგადასახადო ვალდებულებები</t>
  </si>
  <si>
    <t>გადავადებული საგადასახადო ვალდებულებები</t>
  </si>
  <si>
    <t>სუბორდინირებული ვალდებულებები</t>
  </si>
  <si>
    <t>სხვა ვალდებულებები</t>
  </si>
  <si>
    <t>მათ შორის: გადასახდელი დივიდენდები</t>
  </si>
  <si>
    <t>სულ ვალდებულებები</t>
  </si>
  <si>
    <t>საკუთარი კაპიტალი</t>
  </si>
  <si>
    <t>სააქციო კაპიტალი</t>
  </si>
  <si>
    <t>პრივილეგრირებული აქციები</t>
  </si>
  <si>
    <t>საემისიო კაპიტალი</t>
  </si>
  <si>
    <t>(-) გამოსყიდული საკუთარი აქციები</t>
  </si>
  <si>
    <t>გამოშვებული წილობრივი ინსტრუმენტები, გარდა საკუთარი კაპიტალისა</t>
  </si>
  <si>
    <t>რთული ფინანსური ინსტრუმენტის წილობრივი კომპონენტი</t>
  </si>
  <si>
    <t>სხვა გამოშვებული წილობრივი ინსტრუმენტები</t>
  </si>
  <si>
    <t>აქციებზე დაფუძნებული გადახდის რეზერვი</t>
  </si>
  <si>
    <t>დაგროვილი სხვა სრული შემოსავალი</t>
  </si>
  <si>
    <t>გადაფასების რეზერვი</t>
  </si>
  <si>
    <t>რეალური ღირებულების ცვლილებები წილობრივ ინსტრუმენტებზე, რომლებიც შეფასებულია რეალური ღირებულებით, სხვა სრულ შემოსავალში ასახვით</t>
  </si>
  <si>
    <t>რეალური ღირებულებით სხვა სრულ შემოსავალში ასახული სავალო ინსტრუმენტების რეალური ღირებულების ცვლილებები</t>
  </si>
  <si>
    <t>გაუნაწილებელი მოგება</t>
  </si>
  <si>
    <t>სულ საკუთარი კაპიტალი</t>
  </si>
  <si>
    <t>სულ საკუთარი კაპიტალი და ვალდებულებები</t>
  </si>
  <si>
    <t>საპროცენტო შემოსავალი</t>
  </si>
  <si>
    <t>რეალური ღირებულებით შეფასებული არასავაჭრო ფინანსური ინსტრუმენტები სავალდებულო წესით მოგება-ზარალში ასახვით</t>
  </si>
  <si>
    <t>საკუთარი შეხედულებისამებრ რეალური ღირებულებით შეფასებული ფინანსური აქტივები, მოგება- ზარალში ასახვით</t>
  </si>
  <si>
    <t>(საპროცენტო ხარჯები)</t>
  </si>
  <si>
    <t>(სავაჭროდ გამიზნული ფინანსური ვალდებულებები)</t>
  </si>
  <si>
    <t>(საკუთარი შეხედულებისამებრ რეალური ღირებულებით შეფასებული ფინანსური ვალდებულებები, მოგება ან ზარალში ასახვით)</t>
  </si>
  <si>
    <t>(ამორტიზებული ღირებულებით შეფასებული ფინანსური ვალდებულებები)</t>
  </si>
  <si>
    <t>(სხვა ვალდებულებები)</t>
  </si>
  <si>
    <t>შემოსავალი დივიდენდებიდან</t>
  </si>
  <si>
    <t>საკომისიო შემოსავალი</t>
  </si>
  <si>
    <t>(საკომისიო ხარჯი)</t>
  </si>
  <si>
    <t>წმინდა შემოსულობა ან (-) ზარალი იმ ფინანსური აქტივებისა და ვალდებულებების აღიარების შეწყვეტით, რომელიც არ არის შეფასებული რეალური ღირებულებით მოგება ან ზარალში ასახვით</t>
  </si>
  <si>
    <t>შემოსულობა ან (-) ზარალი სავაჭროდ გამიზნული ფინანსური აქტივებიდან და ვალდებულებებიდან,წმინდა</t>
  </si>
  <si>
    <t>შემოსულობა ან (-) ზარალი არასავაჭრო ფინანსური აქტივებიდან, რომელიც სავალდებულო წესით შეფასებულია რეალური ღირებულებით მოგება ან ზარალში ასახვით,წმინდა</t>
  </si>
  <si>
    <t>შემოსულობა ან (-) ზარალი საკუთარი შეხედულებისამებრ რეალური ღირებულებით შეფასებული ფინანსური აქტივებიდან და ვალდებულებებიდან, მოგება-ზარალში ასახვით,წმინდა</t>
  </si>
  <si>
    <t>საკურსო სხვაობა [შემოსულობა ან (-) ზარალი],წმინდა</t>
  </si>
  <si>
    <t>არაფინანსური აქტივების აღიარების შეწყვეტიდან მიღებული შემოსულობა ან (-) ზარალი,წმინდა</t>
  </si>
  <si>
    <t>სხვა საოპერაციო შემოსავალი</t>
  </si>
  <si>
    <t>(სხვა საოპერაციო ხარჯი)</t>
  </si>
  <si>
    <t>(ადმინისტრაციული ხარჯები)</t>
  </si>
  <si>
    <t>(შრომის ანაზღაურების ხარჯი)</t>
  </si>
  <si>
    <t>(სხვა ადმინისტრაციული ხარჯი)</t>
  </si>
  <si>
    <t>(ცვეთის და ამორტიზაციის ხარჯები)</t>
  </si>
  <si>
    <t>ფინანსური ინსტრუმენტების მოდოფიკაციით მიღებული შემოსულობა ან (-) ზარალი,წმინდა</t>
  </si>
  <si>
    <t>(ანარიცხები ან (-) ანარიცხების ანულირება)</t>
  </si>
  <si>
    <t>(გაცემული გარანტიები და შესრულების პირობა)</t>
  </si>
  <si>
    <t>(სხვა ანარიცხები)</t>
  </si>
  <si>
    <t>(გაუფასურება ან (-) გაუფასურების ანულირება იმ ფინანსური აქტივების, რომლებიც შეფასებული არ არის რეალური ღირებულებით, მოგება-ზარალში ასახვით)</t>
  </si>
  <si>
    <t>(რეალური ღირებულებით შეფასებული ფინანსური აქტივები, სხვა სრულ შემოსავალში ასახვით)</t>
  </si>
  <si>
    <t>(ამორტიზებული ღირებულებით შეფასებული ფინანსური აქტივები)</t>
  </si>
  <si>
    <t>(გაუფასურება ან (-) გაუფასურების ანულირება ინვესტიციების შვილობილ, მეკავშირე და ერთობლივ საწარმოებში)</t>
  </si>
  <si>
    <t>არაფინანსური აქტივების გაუფასურება ან (-) გაუფასურების ანულირება</t>
  </si>
  <si>
    <t>წილი მოგებიდან ან (-) ზარალიდან ინვესტიციებზე შვილობილ, მეკავშირე და ერთობლივ საწარმოებში, რომელიც აღრიცხულია წილობრივი მეთოდით</t>
  </si>
  <si>
    <t>მოგება ან (-) ზარალი დაბეგვრამდე</t>
  </si>
  <si>
    <t>(მოგების გადასახადის ხარჯი ან (-) შემოსავალი)</t>
  </si>
  <si>
    <t>მოგება ან (-) ზარალი დაბეგვრის შემდეგ</t>
  </si>
  <si>
    <t>ბალანსგარეშე ანგარიშგების უწყისი</t>
  </si>
  <si>
    <t>მიღებული "სესხის გაცემის ვალდებულებები"</t>
  </si>
  <si>
    <t>ბანკის მიმართ არსებული მოთხოვნის უზრუნველყოფის მიზნით მიღებული გარანტიები</t>
  </si>
  <si>
    <t>ბანკის მოთხოვნის უზრუნველყოფის მიზნით მიღებული გარანტიები</t>
  </si>
  <si>
    <t xml:space="preserve">თავდებობა, სოლიდარული პასუხისმგებლობა </t>
  </si>
  <si>
    <t xml:space="preserve">გარანტია </t>
  </si>
  <si>
    <t>ბანკის მიმართ არსებული მოთხოვნის უზრუნველყოფის მიზნით დატვირთული ბანკის აქტივები</t>
  </si>
  <si>
    <t>ბანკის ფინანსური აქტივები</t>
  </si>
  <si>
    <t>ბანკის არაფინანსური აქტივები</t>
  </si>
  <si>
    <t>გირავნობის უზრუნველყოფის სახით მიღებული აქტივები:</t>
  </si>
  <si>
    <t>ფულადი სახსრები</t>
  </si>
  <si>
    <t>ძვირფასი ლითონები და ქვები</t>
  </si>
  <si>
    <t>უძრავი ქონება:</t>
  </si>
  <si>
    <t>5.3.1</t>
  </si>
  <si>
    <t>საცხოვრებელი</t>
  </si>
  <si>
    <t>5.3.2</t>
  </si>
  <si>
    <t>კომერციული</t>
  </si>
  <si>
    <t>5.3.3</t>
  </si>
  <si>
    <t>კომპლექსური ტიპის უძრავი ქონება</t>
  </si>
  <si>
    <t>5.3.4</t>
  </si>
  <si>
    <t>მიწის ნაკვეთები (შენობა ნაგებობების გარეშე)</t>
  </si>
  <si>
    <t>5.3.5</t>
  </si>
  <si>
    <t>სხვა</t>
  </si>
  <si>
    <t>მოძრავი ქონება</t>
  </si>
  <si>
    <t>წილის გირავნობა</t>
  </si>
  <si>
    <t xml:space="preserve">ფასიანი ქაღალდები  </t>
  </si>
  <si>
    <t>სესხის გაცემის ვალდებულებები</t>
  </si>
  <si>
    <t>გაცემული გარანტიები</t>
  </si>
  <si>
    <t>აკრედიტივი</t>
  </si>
  <si>
    <t>წარმოებული ფინანსური ინსტრუმენტები</t>
  </si>
  <si>
    <t>სავალუტო კურსთან დაკავშირებული კონტრაქტების (გარდა ოფციონებისა) ფარგლებში მისაღები თანხები</t>
  </si>
  <si>
    <t>სავალუტო კურსთან დაკავშირებული კონტრაქტების (გარდა ოფციონებისა) ფარგლებში გასაცები თანხები</t>
  </si>
  <si>
    <t xml:space="preserve">საპროცენტო განაკვეთთან დაკავშირებული კონტრაქტების (გარდა ოფციონებისა) ძირითადი თანხა </t>
  </si>
  <si>
    <t>გაყიდული ოფციონები</t>
  </si>
  <si>
    <t>ნაყიდი ოფციონები</t>
  </si>
  <si>
    <t>სხვა წარმოებული ინსტრუმენტების ფარგლებში ბანკის პოტენციური მოთხოვნის ნომინალური ღირებულება</t>
  </si>
  <si>
    <t>სხვა წარმოებული ინსტრუმენტების ფარგლებში ბანკის მიმართ პოტენციური მოთხოვნის ნომინალური ღირებულება</t>
  </si>
  <si>
    <t>ზარალში ჩამოწერილი ვალები</t>
  </si>
  <si>
    <t>ბოლო 3 თვის განმავალობაში ბალანსიდან ჩამოწერილი საკრედიტო მოთხოვნების ძირი თანხა</t>
  </si>
  <si>
    <t>ბოლო 3 თვის განმავალობაში ბალანსზე აუღიარებელი და ბალანსიდან ჩამოწერილი მისაღები პროცენტები და ჯარიმები</t>
  </si>
  <si>
    <t>ბოლო 5 წლის განმავლობაში (ბოლო 3 თვის ჩათვლით) ბალანსიდან ჩამოწერილი საკრედიტო მოთხოვნების ძირი თანხა</t>
  </si>
  <si>
    <t>ბოლო 5 წლის განმავლობაში (ბოლო 3 თვის ჩათვლით) ბალანსიდან ჩამოწერილი და ბალანსზე აუღიარებელი მისაღები პროცენტები და ჯარიმები</t>
  </si>
  <si>
    <t>კაპიტალური დანახარჯების პოტენციური სახელშეკრულებო ვალდებულება</t>
  </si>
  <si>
    <t>ცხრილი 5</t>
  </si>
  <si>
    <t>ლარებით</t>
  </si>
  <si>
    <t>საკრედიტო რისკი მიხედვით შეწონილი რისკის პოზიციები</t>
  </si>
  <si>
    <t>საბალანსო ელემენტები*</t>
  </si>
  <si>
    <t>1.1.1</t>
  </si>
  <si>
    <t>მათ შორის: ზღვრული დაქვითვის მეთოდს დაქვემდებარებული რისკის პოზიციები, რომლებიც არ იქვითება კაპიტალიდან (რომლებიც იწონება 250%-ში)</t>
  </si>
  <si>
    <t>გარესაბალანსო ელემენტები</t>
  </si>
  <si>
    <t>საბაზრო რისკის მიხედვით შეწონილი რისკის პოზიციები</t>
  </si>
  <si>
    <t>საოპერაციო რისკის მიხედვით შეწონილი რისკის პოზიციები</t>
  </si>
  <si>
    <t>სულ რისკის მიხედვით შეწონილი რისკის პოზიციები</t>
  </si>
  <si>
    <t>*COVID-19-თან დაკავშირებული დამატებითი რეზერვების გათვალისწინება ხდება საბალანსო ელემენტებში რისკის მიხედვით შეწონილი რისკის პოზიციების გაანაგარიშების შემდეგ.</t>
  </si>
  <si>
    <t>ცხრილი 6</t>
  </si>
  <si>
    <t>სამეთვალყურეო საბჭოს შემადგენლობა</t>
  </si>
  <si>
    <t>დამოუკიდებლობის სტატუსი</t>
  </si>
  <si>
    <t>ირაკლი მანაგაძე</t>
  </si>
  <si>
    <t>დამოუკიდებელი თავმჯდომარე</t>
  </si>
  <si>
    <t>ვასილ კენკიშვილი</t>
  </si>
  <si>
    <t>არადამოუკიდებელ წევრი</t>
  </si>
  <si>
    <t>არჩილ ლურსმანაშვილი</t>
  </si>
  <si>
    <t>დევიდ ფრანც ბორგერი, /გერმანია/</t>
  </si>
  <si>
    <t>მზია ქოქუაშვილი</t>
  </si>
  <si>
    <t>დამოუკიდებელი წევრი</t>
  </si>
  <si>
    <t>ნანა ჩხობაძე</t>
  </si>
  <si>
    <t>დირექტორთა საბჭოს შემადგენლობა</t>
  </si>
  <si>
    <t>პოზიციის დასახელება/კონტროლს დაქვემდებარებული მიმართულება ბანკში</t>
  </si>
  <si>
    <t>ალექსი ხოროშვილი</t>
  </si>
  <si>
    <t>გენერალური დირექტორი</t>
  </si>
  <si>
    <t>გიორგი ღიბრაძე</t>
  </si>
  <si>
    <t>იურიდიული დირექტორი</t>
  </si>
  <si>
    <t>ნათია მერაბიშვილი</t>
  </si>
  <si>
    <t>ოპერაციების მართვის დირექტორი</t>
  </si>
  <si>
    <t>ირაკლი ბენდელიანი</t>
  </si>
  <si>
    <t>ინფორმაციული ტექნოლოგიების დირექტორი</t>
  </si>
  <si>
    <t>გიორგი კალოიანი</t>
  </si>
  <si>
    <t>რისკების დირექტორი</t>
  </si>
  <si>
    <t>კახა ბასიაშვილი</t>
  </si>
  <si>
    <t>რისკების დირექტორის მოადგილე</t>
  </si>
  <si>
    <t>დავით ნინიძე</t>
  </si>
  <si>
    <t>პროდუქტებისა და ინოვაციების დირექტორი</t>
  </si>
  <si>
    <t>საწესდებო კაპიტალის 1% და მეტი წილის მფლობელი აქციონერების ჩამონათვალი წილების მითითებით</t>
  </si>
  <si>
    <t>სილქ როუდ გრუპ ჰოლდინგ (მალტა) ლიმიტედ, მალტა</t>
  </si>
  <si>
    <t>შპს პარტომტა</t>
  </si>
  <si>
    <t>სს სილქ ჰოლდინგი</t>
  </si>
  <si>
    <t>ბანკის ბენეფიციარების ჩამონათვალი, რომლებიც პირდაპირ და არაპირდაპირ ფლობენ აქციების 5%–ს ან მეტს წილების მითითებით</t>
  </si>
  <si>
    <t>გიორგი რამიშვილი</t>
  </si>
  <si>
    <t>ალექსი თოფურია</t>
  </si>
  <si>
    <t>დევიდ ფრანც ბორგერი, გერმანია</t>
  </si>
  <si>
    <t>აქციებით შეზღუდული კერძო კომპანია ბრეიტენბერგ პრაივიტ ლიმიტედ, სინგაპური</t>
  </si>
  <si>
    <t>2.1.1</t>
  </si>
  <si>
    <t xml:space="preserve"> ერკინ ტატიშევი, ყაზახეთი</t>
  </si>
  <si>
    <t>ცხრილი 7</t>
  </si>
  <si>
    <t>a</t>
  </si>
  <si>
    <t>b</t>
  </si>
  <si>
    <t>c</t>
  </si>
  <si>
    <t xml:space="preserve">სტანდარტიზებული საზედამხედველო ანგარიშგების საბალანსო ელემენტები </t>
  </si>
  <si>
    <t>საბალანსო ღირებულებები ფასს სტანდარტების აღრიცხვის წესების მიხედვით (ინდივიდუალური ფინანსური ანგარიშგება)</t>
  </si>
  <si>
    <t xml:space="preserve"> საბალანსო ღირებულებები </t>
  </si>
  <si>
    <t>ელემენტი, რომელზეც არ ვრცელდება კაპიტალის მოთხოვნა ან ექვემდებარება კაპიტალიდან დაქვითვას</t>
  </si>
  <si>
    <t xml:space="preserve">საკრედიტო რისკით შეწონვას დაქვემდებარებული საბალანსო ელემენტების ნომინალური ღირებულება </t>
  </si>
  <si>
    <t>საკრედიტო რისკის მიხედვით შეწონვას დაქვემდებარებული საბალანსო ელემენტების ჯამური ღირებულება კორექტირებებამდე</t>
  </si>
  <si>
    <t>ცხრილი 8</t>
  </si>
  <si>
    <t>საბალანსე ელემენტების ჯამური  ღირებულება საკრედიტო რისკის მიხედვით შეწონვის მიზნებისთვის კორექტირებებამდე</t>
  </si>
  <si>
    <t>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</si>
  <si>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კონტრაგენტთან დაკავშირებული 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</si>
  <si>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საბალანსო და არასაბალანსო ელემენტების ჯამური ღირებულება საკრედიტო რისკის მიხედვით შეწონვის მიზნებისთვის კორექტირებებამდე</t>
  </si>
  <si>
    <t>კაპიტალის ადეკვატურობის მიზნებისთვის გაუფასურებასთან დაკავშირებული საზედამხედველო კორექტირებების ეფექტი</t>
  </si>
  <si>
    <t>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t>
  </si>
  <si>
    <t>კონტრაგენტთან დაკავშირებული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CCR)</t>
  </si>
  <si>
    <t>სხვა კორექტირებების ეფექტი (ასეთის არსებობის შემთხვევაში) *</t>
  </si>
  <si>
    <t>სულ საკრედიტო რისკის მიხედვით შეწონვას დაქვემდებარებული რისკის პოზიციები</t>
  </si>
  <si>
    <t>* სხვა კორექტირებები მოიცავს COVID 19-თან დაკავშირებულ რეზერვებსაც დადებითი ნიშნით. აღნიშნულის გამოკლება ხდება რისკის მიხედვით შეწონილი რისკის პოზიციების დაანგარიშების შემდეგ. იხ. ცხრილი "5.RWA"</t>
  </si>
  <si>
    <t>ცხრილი 9</t>
  </si>
  <si>
    <t>ძირითადი პირველადი კაპიტალი საზედამხედველო კორექტირებამდე</t>
  </si>
  <si>
    <t>ჩვეულებრივი აქციები, რომლებიც აკმაყოფილებენ ძირითადი პირველადი კაპიტალის კრიტერიუმებს</t>
  </si>
  <si>
    <t>დამატებითი სახსრები ჩვეულებრივ აქციებზე, რომლებიც აკმაყოფილებენ ძირითადი პირველადი კაპიტალის კრიტერიუმებს</t>
  </si>
  <si>
    <t>აკუმულირებული სხვა სრული შემოსავალი</t>
  </si>
  <si>
    <t>სხვა რეზერვები</t>
  </si>
  <si>
    <t>გაუნაწილებელი მოგება (ზარალი)</t>
  </si>
  <si>
    <t>ძირითადი პირველადი კაპიტალის საზედამხედველო კორექტირებები</t>
  </si>
  <si>
    <t>აქტივების გადაფასების რეზერვი</t>
  </si>
  <si>
    <t xml:space="preserve">მოგებასა და ზარალში აქტივების არარეალიზებული გადაფასების შედეგად მიღებული აკუმულირებული მოგების ის ნაწილი, რომელიც აღემატება მოგებასა და ზარალში არარეალიზებული გადაფასების შედეგად ასახულ აკუმულირებულ ზარალს </t>
  </si>
  <si>
    <t>აქტივების კლასიფიკაციის შედეგად მიღებული რეზერვების უკმარისობა</t>
  </si>
  <si>
    <t>ინვესტიციები საკუთარ აქციებში</t>
  </si>
  <si>
    <t>კომერციული ბანკების,  სადაზღვევო კომპანიებისა და სხვა საფინანსო ინსტიტუტების კაპიტალში ორმხრივი მფლობელობა</t>
  </si>
  <si>
    <t>ფულადი ნაკადების ჰეჯირების რეზერვი</t>
  </si>
  <si>
    <t>გადავადებული საგადასახადო აქტივები, რომლებზეც არ ვრცელდება ზღვრული დაქვითვის მეთოდი (დაკავშირებული საგადასახადო ვალდებულების გამოკლებით)</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</si>
  <si>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ძირითადი პირველადი კაპიტალის ინსტრუმენტებში (რომლებიც არაა ჩვეულებრივი აქციები)</t>
  </si>
  <si>
    <t>აქციების ფლობა და სხვა სახით 10%–ზე მეტი წილის ფლობა კომერციული დაწესებულებების სააქციო კაპიტალში</t>
  </si>
  <si>
    <t>სხვა დაქვითვები</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</si>
  <si>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ჩვეულებრივ აქციებში (ნაწილი, რომელიც აღემატება 10%–იან ზღვარს)</t>
  </si>
  <si>
    <t>ინვესტიციები კომერციული ბანკების, სადაზღვევო კომპანიებისა და სხვა ფინანსური ინსტიტუტების კაპიტალში 10%–ზე ნაკლები წილის მფლობელობით (ნაწილი, რომელიც აღემატება 10%–იან ზღვარს)</t>
  </si>
  <si>
    <t>დროებითი სხვაობებით წარმოშობილი გადავადებული საგადასახადო აქტივები (ნაწილი, რომელიც აღემატება 10%–იან ზღვარს, დაკავშირებული საგადასახადო ვალდებულების გამოკლებით)</t>
  </si>
  <si>
    <t>მნიშვნელოვანი ინვესტიციები და გადავადებული საგადასახადო აქტივები, რომლებიც აღემატება ძირითადი პირველადი კაპიტალის 15% -ს</t>
  </si>
  <si>
    <t xml:space="preserve">ძირითადი პირველადი კაპიტალის საზედამხედველო დაქვითვები, რომლებიც გამოწვეულია დამატებითი პირველადი კაპიტალისა და მეორადი  კაპიტალის უკმარისობით ინვესტიციების დაქვითვებისათვის </t>
  </si>
  <si>
    <t>დამატებითი პირველადი კაპიტალი საზედამხედველო კორექტირებებამდე</t>
  </si>
  <si>
    <t>ინსტრუმენტები, რომლებიც აკმაყოფილებენ დამატებითი პირველადი კაპიტალის კრიტერიუმებს</t>
  </si>
  <si>
    <t>მათ შორის, კლასიფიცირებული კაპიტალად შესაბამისი ბუღალტრული აღრიცხვის სტანდარტებით</t>
  </si>
  <si>
    <t>მათ შორის, კლასიფიცირებული ვალდებულებად შესაბამისი ბუღალტრული აღრიცხვის სტანდარტებით</t>
  </si>
  <si>
    <t>დამატებითი სახსრები ინსტრუმენტებზე,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</si>
  <si>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</si>
  <si>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</si>
  <si>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ინსტრუმენტებში ჯვარედინი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</si>
  <si>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დამატებითი პირველადი კაპიტალის ინსტრუმენტებში (რომლებიც არაა ჩვეულებრივი აქციები)</t>
  </si>
  <si>
    <t xml:space="preserve">დამატებითი პირველადი კაპიტალის საზედამხედველო დაქვითვები, რომლებიც გამოწვეულია მეორადი  კაპიტალის უკმარისობით ინვესტიციების დაქვითვებისათვის </t>
  </si>
  <si>
    <t>დამატებითი პირველადი კაპიტალი</t>
  </si>
  <si>
    <t>მეორადი კაპიტალი საზედამხედველო კორექტირებებამდე</t>
  </si>
  <si>
    <t>ინსტრუმენტები, რომლებიც აკმაყოფილებენ მეორადი კაპიტალის კრიტერიუმებს</t>
  </si>
  <si>
    <t>დამატებითი სახსრები ინსტრუმენტებზე, რომლებიც აკმაყოფილებენ მეორადი კაპიტალის კრიტერიუმებს</t>
  </si>
  <si>
    <t>ზოგადი რეზერვები საკრედიტო რისკის მიხედვით შეწონილი რისკის პოზიციების მაქსიმუმ 1.25%–ის ოდენობით</t>
  </si>
  <si>
    <t>მეორადი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</si>
  <si>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მეორადი კაპიტალის კრიტერიუმებს</t>
  </si>
  <si>
    <t>მეორადი კაპიტალის ინსტრუმენტებში ორმხრივი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</si>
  <si>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მეორადი კაპიტალის ინსტრუმენტებში (რომლებიც არაა ჩვეულებრივი აქციები)</t>
  </si>
  <si>
    <t>მეორადი კაპიტალი</t>
  </si>
  <si>
    <t xml:space="preserve">   </t>
  </si>
  <si>
    <t>ცხრილი 9.1</t>
  </si>
  <si>
    <t>მინიმალური მოთხოვნები</t>
  </si>
  <si>
    <t>კოეფიციენტი</t>
  </si>
  <si>
    <t>თანხა (ლარი)</t>
  </si>
  <si>
    <t>პილარ 1-ის მოთხოვნები</t>
  </si>
  <si>
    <t>1.1</t>
  </si>
  <si>
    <t>ძირითადი პირველადი კაპიტალის მინიმალური მოთხოვნა</t>
  </si>
  <si>
    <t>1.2</t>
  </si>
  <si>
    <t>პირველადი კაპიტალის მინიმალური მოთხოვნა</t>
  </si>
  <si>
    <t>1.3</t>
  </si>
  <si>
    <t>საზედამხედველო კაპიტალის მინიმალური მოთხოვნა</t>
  </si>
  <si>
    <t>2</t>
  </si>
  <si>
    <t>კომბინირებული ბუფერი</t>
  </si>
  <si>
    <t>2.1</t>
  </si>
  <si>
    <t>კაპიტალის კონსერვაციის ბუფერი*</t>
  </si>
  <si>
    <t>2.2</t>
  </si>
  <si>
    <t>კონტრციკლური ბუფერი</t>
  </si>
  <si>
    <t>2.3</t>
  </si>
  <si>
    <t>სისტემური რისკის ბუფერი</t>
  </si>
  <si>
    <t>3</t>
  </si>
  <si>
    <t>პილარ 2-ის მოთხოვნა</t>
  </si>
  <si>
    <t>3.1</t>
  </si>
  <si>
    <t>პილარ 2-ის მოთხოვნა ძირითად პირველად კაპიტალზე</t>
  </si>
  <si>
    <t>3.2</t>
  </si>
  <si>
    <t>პილარ 2-ის მოთხოვნა პირველად კაპიტალზე</t>
  </si>
  <si>
    <t>3.3</t>
  </si>
  <si>
    <t>პილარ 2-ის მოთხოვნა საზედამხედველო კაპიტალზე</t>
  </si>
  <si>
    <t>ჯამური მოთხოვნები</t>
  </si>
  <si>
    <t>6</t>
  </si>
  <si>
    <t>* კონსერვაციის ბუფერის მოთხოვნის განულებასთან დაკავშირებით, იხილეთ ეროვნული ბანკის პრეს რელიზი "ეროვნული ბანკის საზედამხედველო გეგმა COVID-19-თან დაკავშირებით" ბმული: https://www.nbg.gov.ge/index.php?m=340&amp;newsid=3901</t>
  </si>
  <si>
    <t>ცხრილი 10</t>
  </si>
  <si>
    <t xml:space="preserve">საბალანსო ღირებულება ინდივიდუალურ ფინანსურ ანგარიშგებებში ფასს-ის სტანდარტების მიხედვით </t>
  </si>
  <si>
    <t>კავშირი Capital-ის ცხრილთან</t>
  </si>
  <si>
    <t xml:space="preserve"> ცხრილი 9 (Capital), N10 </t>
  </si>
  <si>
    <t>მ.შ. სუბორდინირებული ვალდებულებების საკონტრაქტო ღირებულება</t>
  </si>
  <si>
    <t xml:space="preserve"> ცხრილი 9 (Capital), N38</t>
  </si>
  <si>
    <t>ცხრილი 11</t>
  </si>
  <si>
    <t>საკრედიტო რისკის მიხედვით შეწონილი რისკის პოზიციები 
(საბალანსო და კრედიტ კონვერსიის ფაქტორის გათვალისწინებით გარესაბალანსო ელემენტები)</t>
  </si>
  <si>
    <t>d</t>
  </si>
  <si>
    <t>e</t>
  </si>
  <si>
    <t>f</t>
  </si>
  <si>
    <t>g</t>
  </si>
  <si>
    <t>h</t>
  </si>
  <si>
    <t>i</t>
  </si>
  <si>
    <t>j</t>
  </si>
  <si>
    <t>k</t>
  </si>
  <si>
    <t>l</t>
  </si>
  <si>
    <t>m</t>
  </si>
  <si>
    <t>n</t>
  </si>
  <si>
    <t>o</t>
  </si>
  <si>
    <t>p</t>
  </si>
  <si>
    <t>q</t>
  </si>
  <si>
    <t xml:space="preserve">                                                                                                                                           რისკის წონები
აქტივების კლასები</t>
  </si>
  <si>
    <t>საკრედიტო რისკის მიხედვით შეწონილი რისკის პოზიციები საკრედიტო რისკის მიტიგაციამდე</t>
  </si>
  <si>
    <t>საბალანსო</t>
  </si>
  <si>
    <t>გარესაბალანსო</t>
  </si>
  <si>
    <t>უპირობო და პირობითი მოთხოვნები ცენტრალური მთავრობებისა და ცენტრალური ბანკების მიმართ</t>
  </si>
  <si>
    <t>უპირობო და პირობითი მოთხოვნები რეგიონული მთავრობებისა და ადგილობრივი თვითმმართველობების მიმართ</t>
  </si>
  <si>
    <t>უპირობო და პირობითი მოთხოვნები საჯარო დაწესებულებების მიმართ</t>
  </si>
  <si>
    <t>უპირობო და პირობითი მოთხოვნები მრავალმხრივი განვითარების ბანკების მიმართ</t>
  </si>
  <si>
    <t>უპირობო და პირობითი მოთხოვნები საერთაშორისო ორგანიზაციების/ინსტიტუტების მიმართ</t>
  </si>
  <si>
    <t>უპირობო და პირობითი მოთხოვნები კომერციული ბანკების მიმართ</t>
  </si>
  <si>
    <t>უპირობო და პირობითი მოთხოვნები კორპორატიული კლიენტების მიმართ</t>
  </si>
  <si>
    <t>უპირობო და პირობითი საცალო მოთხოვნები</t>
  </si>
  <si>
    <t>უპირობო და პირობითი მოთხოვნები, რომლებიც უზრუნველყოფილია საცხოვრებელი უძრავი ქონებით</t>
  </si>
  <si>
    <t>ვადაგადაცილებული სესხები</t>
  </si>
  <si>
    <t>მაღალი საზედამხედველო რისკის კატეგორიაში შემავალი ერთეულები</t>
  </si>
  <si>
    <t>მოკლევადიანი მოთხოვნები კორპორატიული კლიენტების მიმართ</t>
  </si>
  <si>
    <t>მოთხოვნები კოლექტიური ინვესტიციების სახით</t>
  </si>
  <si>
    <t>სხვა ერთეულები</t>
  </si>
  <si>
    <t>ცხრილი 12</t>
  </si>
  <si>
    <t>საკრედიტო რისკის მიტიგაცია 
(საბალანსო და გარესაბალანსო ელემენტები)</t>
  </si>
  <si>
    <t>კრედიტის დაფინანსებული უზრუნველყოფა</t>
  </si>
  <si>
    <t>კრედიტის დაუფინანსებელი უზრუნველყოფა</t>
  </si>
  <si>
    <t>სულ საბალანსო ელემენტების საკრედიტო მიტიგაცია</t>
  </si>
  <si>
    <t>სულ გარესაბალანსო ელემენტების საკრედიტო მიტიგაცია</t>
  </si>
  <si>
    <t>სულ საკრედიტო რისკის მიტიგაცია</t>
  </si>
  <si>
    <t>საბალანსო ელემენტების ერთმანეთთან ურთიერთგაქვითვა</t>
  </si>
  <si>
    <t>სადეპოზიტო ანგარიშზე განთავსებული ფულადი სახსრები ან ფულთან გათანაბრებული ფინანსური ინსტრუმენტები</t>
  </si>
  <si>
    <t>ცენტრალური მთავრობებისა და ცენტრალური ბანკების, რეგიონული მთავრობებისა და ადგილობრივი თვითმმართველობების, საჯარო დაწესებულებების, მრავალმხრივი განვითარების ბანკებისა და საერთაშორისო ორგანიზაციების მიერ გამოშვებული სავალო ფასიანი ქაღალდები</t>
  </si>
  <si>
    <t>კომერციული ბანკების, რეგიონული მთავრობებისა და ადგილობრივი თვითმმართველობების, საჯარო დაწესებულებებისა და მრავალმხრივი განვითარების ბანკების მიერ გამოშვებული სავალო ფასიანი ქაღალდები</t>
  </si>
  <si>
    <t>სხვა დაწესებულებების მიერ გამოშვებული სავალო ფასიანი ქაღალდები, რომლის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მე-3 ან უკეთეს ბიჯს</t>
  </si>
  <si>
    <t>მოკლევადიანი საკრედიტო შეფასების მქონე სავალო ფასიანი ქაღალდები, რომლის საკრედიტო ხარისხი მოკლევადიანი რისკის პოზიციების შეწონვის სებ–ის მიერ დადგენილი წესით შეესაბამება მე-3 ან უკეთეს ბიჯს</t>
  </si>
  <si>
    <t>წილი კაპიტალში ან კონვერტირებადი ობლიგაციები, რომლებიც შედის მთავარ ინდექსში</t>
  </si>
  <si>
    <t>ოქროს სტანდარტული ზოდი ან მისი ექვივალენტი</t>
  </si>
  <si>
    <t>კომერციული ბანკების მიერ გამოშვებული საკრედიტო შეფასების არ მქონე სავალო ფასიანი ქაღალდები</t>
  </si>
  <si>
    <t xml:space="preserve">წილი კოლექტიურ საინვესტიციო სქემებში </t>
  </si>
  <si>
    <t>ცენტრალური მთავრობებისა და ცენტრალური ბანკების უზრუნველყოფა</t>
  </si>
  <si>
    <t>რეგიონული მთავრობებისა და ადგილობრივი თვითმმართველობების უზრუნველყოფა</t>
  </si>
  <si>
    <t>მრავალმხრივი განვითარების ბანკების უზრუნველყოფა</t>
  </si>
  <si>
    <t>საერთაშორისო ორგანიზაციების უზრუნველყოფა</t>
  </si>
  <si>
    <t>საჯარო დაწესებულებების უზრუნველყოფა</t>
  </si>
  <si>
    <t>კომერციული ბანკების უზრუნველყოფა</t>
  </si>
  <si>
    <t>სხვა კორპორატიული პირების უზრუნველყოფა, რომელთა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მე-2 ან უკეთეს ბიჯს</t>
  </si>
  <si>
    <t>ცხრილი 13</t>
  </si>
  <si>
    <t>სტანდარტიზებული მიდგომა - საკრედიტო რისკის მიტიგაცია</t>
  </si>
  <si>
    <t>საბალანსო ელემენტები - რისკის პოზიციების ღირებულება</t>
  </si>
  <si>
    <t xml:space="preserve">გარესაბალანსო ელემენტები </t>
  </si>
  <si>
    <t>რისკის მიხედვით შეწონილი აქტივები საკრედიტო რისკის მიტიგაციამდე</t>
  </si>
  <si>
    <t>რისკის მიხედვით შეწონილი აქტივები საკრედიტო რისკის მიტიგაციის ეფექტის გათვალისწინებით</t>
  </si>
  <si>
    <t>რისკის მიხედვით შეწონილი აქტივების სიმკვრივე* f=e/(a+c)</t>
  </si>
  <si>
    <t>გარესაბალანსო ელემენტები ნომინალური ღირებულება</t>
  </si>
  <si>
    <t xml:space="preserve">გარესაბალანსო ელემენტები კონვერსიის ფაქტორის გათვალისწინებით </t>
  </si>
  <si>
    <t>ცხრილი 14</t>
  </si>
  <si>
    <t>შეუწონავი მონაცემები (დღიური საშუალო)</t>
  </si>
  <si>
    <t>სებ-ის მეთოდოლოგიით* შეწონილი მონაცემები (დღიური საშუალო)</t>
  </si>
  <si>
    <t>ბაზელის მეთოდოლოგიით შეწონილი მონაცემები (დღიური საშუალო)</t>
  </si>
  <si>
    <t>უცხ. ვალუტა</t>
  </si>
  <si>
    <t>მაღალი ხარისხის ლიკვიდური აქტივები</t>
  </si>
  <si>
    <t>გადინება</t>
  </si>
  <si>
    <t>ფიზიკური პირების დეპოზიტები</t>
  </si>
  <si>
    <t>არაუზრუნველყოფილი საბითუმო დაფინანსება</t>
  </si>
  <si>
    <t>უზრუნველყოფილი დაფინანსება</t>
  </si>
  <si>
    <t>ბალანსგარეშე ვალდებულებები და წარმოებული ფინანსური ინსტრუმენტების წმინდა მოკლე პოზიცია</t>
  </si>
  <si>
    <t>სხვა საკონტრაქტო გადინება</t>
  </si>
  <si>
    <t>სხვა გადინება</t>
  </si>
  <si>
    <t>ფულის მთლიანი გადინება</t>
  </si>
  <si>
    <t>შემოდინება</t>
  </si>
  <si>
    <t>უკურეპო ოპერაციები და ფასიანი ქაღალდების სესხება</t>
  </si>
  <si>
    <t>სხვა შემოდინება კონტრაგენტებიდან</t>
  </si>
  <si>
    <t>ფულის სხვა შემოდინება</t>
  </si>
  <si>
    <t>ფულის მთლიანი შემოდინება</t>
  </si>
  <si>
    <t>მთლიანი თანხა სებ-ის მეთოდოლოგიით (ლიმიტების გათვალისწინებით)</t>
  </si>
  <si>
    <t>მთლიანი თანხა ბაზელის მეთოდოლოგიით (ლიმიტების გათვალისწინებით)</t>
  </si>
  <si>
    <t>ფულის წმინდა გადინება</t>
  </si>
  <si>
    <t>* სებ-ის მეთოდოლოგიით გაანგარიშებული კოეფიციენტები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</si>
  <si>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ცხრილი 15</t>
  </si>
  <si>
    <t xml:space="preserve">ნომინალური 
ღირებულება </t>
  </si>
  <si>
    <t>პროცენტი</t>
  </si>
  <si>
    <t>რისკის პოზიციების 
ღირებულება</t>
  </si>
  <si>
    <t>სავალუტო კურსთან დაკავშირებული კონტრაქტები</t>
  </si>
  <si>
    <t>კონტრაქტები 1  წელზე ნაკლები ვადით</t>
  </si>
  <si>
    <t>კონტრაქტები 1–დან 2 წლამდე ვადით</t>
  </si>
  <si>
    <t>კონტრაქტები 2–დან 3 წლამდე ვადით</t>
  </si>
  <si>
    <t>კონტრაქტები 3–დან 4 წლამდე ვადით</t>
  </si>
  <si>
    <t>კონტრაქტები 4–დან 5 წლამდე ვადით</t>
  </si>
  <si>
    <t>კონტრაქტები 5 წელზე მეტი ვადით</t>
  </si>
  <si>
    <t>საპროცენტო განაკვეთთან დაკავშირებული კონტრაქტები</t>
  </si>
  <si>
    <t>ცხრილი 15.1</t>
  </si>
  <si>
    <t xml:space="preserve">საბალანსო ელემენტები </t>
  </si>
  <si>
    <t>საბალანსო ელემენტები *</t>
  </si>
  <si>
    <t>(პირველადი კაპიტალიდან დაქვითული ელემენტები)</t>
  </si>
  <si>
    <t xml:space="preserve">სულ საბალანსო ელემენტები </t>
  </si>
  <si>
    <t>წარმოებული ინსტრუმენტები</t>
  </si>
  <si>
    <t xml:space="preserve">წარმოებული ინსტრუმენტები ჩანაცვლების ღირებულება </t>
  </si>
  <si>
    <t>მოსალოდნელი საკრედიტო რისკის პოზიციები</t>
  </si>
  <si>
    <t>EU-5a</t>
  </si>
  <si>
    <t>კაპიტალის ადეკვატურობის 50-ე მუხლით განსაზღვრული რისკის პოზიციები</t>
  </si>
  <si>
    <t xml:space="preserve">წარმოებული ინსტრუმენტების სანაცვლოდ მიღებული უზრუნველყოფების ღირებულება  </t>
  </si>
  <si>
    <t>(მოთხოვნად აღიარებული გადახდილი ვარიაციის მარჟის თანხის დაქვითვა)</t>
  </si>
  <si>
    <t>(ფინანსურ შუამავლობასთან დაკავშირებული რისკის პოზიციების დაქვითვა)</t>
  </si>
  <si>
    <t>გაყიდული კრედიტის წარმოებული ინსტრუმენტების კორექტირებული ეფექტური ნომინალური ღირებულება</t>
  </si>
  <si>
    <t>(ეფექტური ნომინალური ღირებულების დაქვითვები)</t>
  </si>
  <si>
    <t>სულ წარმოებული ინსტრუმენტები</t>
  </si>
  <si>
    <t>ფასიანი ქაღალდებით დაფინანსებული ტრანზაქციები</t>
  </si>
  <si>
    <t xml:space="preserve">ფასიანი ქაღალდებით დაფინანსებული ტრანზაქციების მთლიანი სააღრიცხვო ღირებულება </t>
  </si>
  <si>
    <t>(მისაღები და გადასახდელი თანხების ურთიერთგაქვითვა)</t>
  </si>
  <si>
    <t xml:space="preserve">კონტრაჰენტის საკრედიტო რისკთან დაკავშირებული დამატებითი ღირებულება </t>
  </si>
  <si>
    <t>EU-14a</t>
  </si>
  <si>
    <t>განსხვავებული მიდგომა კონტრაგენტის საკრედიტო რისკის მიმართ ფასიანი ქაღალდებით დაფინანსებული ტრანზაქციებისთვის</t>
  </si>
  <si>
    <t>საშუამავლო ტრანზაქციები</t>
  </si>
  <si>
    <t>EU-15a</t>
  </si>
  <si>
    <t>(საშუამავლო ტრანზაქციების დაქვითვები)</t>
  </si>
  <si>
    <t>სულ ფასიანი ქაღალდებით დაფინანსებული ტრანზაქციები</t>
  </si>
  <si>
    <t>გარესაბალანსო რისკის პოზიციები</t>
  </si>
  <si>
    <t>გარესაბალანსო ელემენტების ნომინალური ღირებულება</t>
  </si>
  <si>
    <t>(გარესაბალანსო ელემენტების საკრედიტო კონვერსიის ფაქტორის ეფექტი)</t>
  </si>
  <si>
    <t xml:space="preserve">სულ გარესაბალანსო ელემენტები </t>
  </si>
  <si>
    <t>საბალანსო და გარესაბალანსო ელემენტების ნებადართული დაქვითვები</t>
  </si>
  <si>
    <t>EU-19a</t>
  </si>
  <si>
    <t>(შიდაჯგუფური რისკის პოზიციების დაქვითვა)</t>
  </si>
  <si>
    <t>EU-19b</t>
  </si>
  <si>
    <t>(საჯარო დაწესებულებების მიმართ არსებული რისკის პოზიციების დაქვითვა)</t>
  </si>
  <si>
    <t>კაპიტალი და მთლიანი რისკის პოზიციები</t>
  </si>
  <si>
    <t>მთლიანი რისკის პოზიციები ლევერიჯის კოეფიციენტის მიზნებისთვის</t>
  </si>
  <si>
    <t>გარდამავალი მიდგომები და აუღიარებელი ფიდუციარული აქტივები</t>
  </si>
  <si>
    <t>EU-23</t>
  </si>
  <si>
    <t>გარდამავალი მიდგომები კაპიტალის განსაზღვისთვის</t>
  </si>
  <si>
    <t>EU-24</t>
  </si>
  <si>
    <t xml:space="preserve">ფიდუციარული აქტივების მოცულობა რომლებიც აკლდება მთლიან რისკის პოზიციებს </t>
  </si>
  <si>
    <t>* COVID 19-თან დაკავშირებული რეზერვები აკლდება საბალანსო ელემენტებს</t>
  </si>
  <si>
    <t>ცხრილი 16</t>
  </si>
  <si>
    <t>შეუწონავი ღირებულება ნარჩენი ვადიანობის მიხედვით</t>
  </si>
  <si>
    <t>შეწონილი ღირებულება</t>
  </si>
  <si>
    <t>უვადო*</t>
  </si>
  <si>
    <t>&lt; 6 თვე</t>
  </si>
  <si>
    <t>6 თვიდან  1 წლამდე</t>
  </si>
  <si>
    <t>&gt;= 1 წელი</t>
  </si>
  <si>
    <t>კაპიტალი:</t>
  </si>
  <si>
    <t>1 წელზე მეტი ნარჩენი ვადიანობის გამოუთხოვადი ვალდებულებები</t>
  </si>
  <si>
    <t>ფიზიკური პირების გამოთხოვადი ან 1 წელზე ნაკლები ნარჩენი ვადიანობის გამოუთხოვადი დეპოზიტები</t>
  </si>
  <si>
    <t>რეზიდენტი</t>
  </si>
  <si>
    <t>არარეზიდენტი</t>
  </si>
  <si>
    <t>საბითუმო დაფინანება</t>
  </si>
  <si>
    <t>გამოთხოვადი ან 1 წელზე ნაკლები ნარჩენი ვადიანობის გამოუთხოვადი დაფინანსება, რომელიც მიღებულია სახელმწიფო ან მის კონტროლს დაქვემდებარებული საწარმოებიდან, საერთაშორისო საფინანსო ინსტიტუტებიდან და იურიდიული პირების მხრიდან, გარდა საფინანსო სექტორის წარმომადგენლებისა</t>
  </si>
  <si>
    <t>გამოთხოვადი ან 1 წელზე ნაკლები ნარჩენი ვადინობის გამოუთხოვადი დაფინანსება, რომელიც მიღებულია ცენტრალური ბანკებიდან და სხვა ფინანსური ინსტიტუტებიდან</t>
  </si>
  <si>
    <t>ურთიერთდაკავშირებული ვალდებულებები</t>
  </si>
  <si>
    <t>დერივატივებთან დაკავშირებული ვალდებულებები</t>
  </si>
  <si>
    <t>ყველა სხვა ვალდებულებები და კაპიტალის ინსტრუმენტები, რომლებიც არ შედის ზემოთ აღნიშნულ კატეგორიებში</t>
  </si>
  <si>
    <t>სულ ხელმისაწვდომი სტაბილური დაფინანსება</t>
  </si>
  <si>
    <t>სტანდარტულად კლასიფიცირებული სესხები და ფასიანი ქაღალდები:</t>
  </si>
  <si>
    <t>ფინანსურ ინსტიტუტებზე გაცემული სესხები და დეპოზიტები, რომლებიც უზრუნველყოფილია პირველი დონის ლიკვიდური აქტივებით</t>
  </si>
  <si>
    <t>ფინანსურ ინსტიტუტებზე გაცემული სესხები და დეპოზიტები, რომლებიც არ არის უზრუნველყოფილი ან უზრუნველყოფილია არა პირველი დონის ლიკვიდური აქტივებით</t>
  </si>
  <si>
    <t>არაფინანსურ ინსტიტუტებსა და ფიზიკურ პირებზე გაცემული სესხები, მათ შორის:</t>
  </si>
  <si>
    <t>რომლებსაც 35% ან ნაკლები წონა ენიჭება</t>
  </si>
  <si>
    <t>საცხოვრებელი ქონებით უზრუნველყოფილი მოთხოვნები, მათ შორის:</t>
  </si>
  <si>
    <t>ფასიანი ქაღალდები, რომლებიც არ კლასიფიცირდება მაღალი ხარისხის ლიკვიდურ აქტივებად</t>
  </si>
  <si>
    <t>ურთიერთდაკავშირებული აქტივები</t>
  </si>
  <si>
    <t>დერივატივებთან დაკავშირებული აქტივები</t>
  </si>
  <si>
    <t>ყველა სხვა აქტივი, რომელიც არ შედის ზემოაღნიშნულ სდს კატეგორიებში</t>
  </si>
  <si>
    <t>გარებალანსური მუხლები</t>
  </si>
  <si>
    <t>სულ სტაბილური დაფინანსების საჭიროება</t>
  </si>
  <si>
    <t>*უვადო დროით კალათაში დაკლასიფიცირდება ისეთი მუხლები, რომლებსაც არ გააჩნიათ განსაზღვრული ვადინობა. მაგალითად, კაპიტალის უვადო ინსტრუმენტები, მიმდინარე/მოთხოვნამდე დეპოზიტები და ა.შ.</t>
  </si>
  <si>
    <t>ცხრილი 17</t>
  </si>
  <si>
    <t xml:space="preserve">                                                                                                       განაწილება  ნარჩენი ვადიანობის მიხედვით                                                                              რისკის კლასები</t>
  </si>
  <si>
    <t>საბალანსო აქტივების რისკის პოზიციის ღირებულება</t>
  </si>
  <si>
    <t xml:space="preserve">მოთხოვნამდე </t>
  </si>
  <si>
    <t>≤ 1 წელი</t>
  </si>
  <si>
    <t xml:space="preserve">&gt; 1 წელი ≤ 5 წელი </t>
  </si>
  <si>
    <t>&gt; 5 წელი</t>
  </si>
  <si>
    <t>განუსაზღვრელი დაფარვის ვადით</t>
  </si>
  <si>
    <t>ვადაგადაცილებული სესხები* - ვადაგადაცილებული სესხები შეივსება როგორც მე-10 პუნქტში, ასევე გადანაწილდება იმ კლასებში სადაც ვადაგადაცილებულ პოზიციად კლასიფიცირებამდე აღირიცხებოდა. ორმაგი აღრიცხვის გამოსარიცხად ფორმულაში არ მონაწილეობს ვადაგადაცილებული სესხების სტრიქონი.</t>
  </si>
  <si>
    <t>ცხრილი 18</t>
  </si>
  <si>
    <t>ა</t>
  </si>
  <si>
    <t>ბ</t>
  </si>
  <si>
    <t>გ</t>
  </si>
  <si>
    <t>დ</t>
  </si>
  <si>
    <t>ე</t>
  </si>
  <si>
    <t>ვ</t>
  </si>
  <si>
    <t xml:space="preserve">                                                                             საბალანსო აქტივები                                                                                                         
                                                                                                                                                                                                                                                                                                            რისკის კლასები</t>
  </si>
  <si>
    <t>მთლიანი ღირებულება</t>
  </si>
  <si>
    <t>მოსალოდნელი საკრედიტო ზარალი</t>
  </si>
  <si>
    <t>ზოგადი რეზერვი</t>
  </si>
  <si>
    <t>კუმულატიური ჩამოწერა ანგარიშგების პერიოდზე</t>
  </si>
  <si>
    <t>აქტივების წმინდა ღირებულება</t>
  </si>
  <si>
    <t>მათ შორის სესხები და სხვა აქტივები - უმოქმედო</t>
  </si>
  <si>
    <t>მათ შორის სესხები და სხვა აქტივები - გარდა უმოქმედოსი</t>
  </si>
  <si>
    <t>(ა+ბ-გ-დ)</t>
  </si>
  <si>
    <t>მათ შორის: სესხები</t>
  </si>
  <si>
    <t>მათ შორის: სავალო ფასიანი ქაღალდები</t>
  </si>
  <si>
    <t>ცხრილი 19</t>
  </si>
  <si>
    <t xml:space="preserve">                                                                               საბალანსო აქტივები
                                                                                                                                                                                                             სექტორი დაფარვის წყაროს/კონტრაგენტის ტიპის მიხედვით</t>
  </si>
  <si>
    <t>მოსალოდენელი საკრედიტო ზარალი</t>
  </si>
  <si>
    <t>სახელმწიფო ორგანიზაციები</t>
  </si>
  <si>
    <t>საფინანსო ინსტიტუტები</t>
  </si>
  <si>
    <t>ლომბარდები</t>
  </si>
  <si>
    <t>უძრავი ქონების დეველოპმენტი</t>
  </si>
  <si>
    <t>იპოთეკური სესხები - დასრულებული საცხოვრებელი უძრავი ქონების შეძენა</t>
  </si>
  <si>
    <t>უძრავი ქონების მენეჯმენტი</t>
  </si>
  <si>
    <t>სამშენებლო კომპანიები (არა დეველოპერები)</t>
  </si>
  <si>
    <t>სამომხმარებლო სესხები</t>
  </si>
  <si>
    <t>სამშენებლო მასალების მოპოვება, წარმოება და ვაჭრობა</t>
  </si>
  <si>
    <t>სამომხმარებლო საქონლით ვაჭრობა</t>
  </si>
  <si>
    <t>სამომხმარებლო საქონლის წარმოება</t>
  </si>
  <si>
    <t>ხანგრძლივი მოხმარების სამომხმარებლო საქონლის წარმოება და ვაჭრობა</t>
  </si>
  <si>
    <t>ფეხსაცმლის, ტანსაცმლისა და ტექსტილის წარმოება და ვაჭრობა</t>
  </si>
  <si>
    <t>ვაჭრობა (სხვა)</t>
  </si>
  <si>
    <t>წარმოება (სხვა)</t>
  </si>
  <si>
    <t>სასტუმროები და ტურიზმი</t>
  </si>
  <si>
    <t>რესტორნები, ბარები, კაფეები და სწრაფი კვების ობიექტები</t>
  </si>
  <si>
    <t>მძიმე მრეწველობა</t>
  </si>
  <si>
    <t>ბენზინგასამართ სადგურებსა და ბენზინის იმპორტიორებზე გაცემული სესხები</t>
  </si>
  <si>
    <t>ენერგეტიკა</t>
  </si>
  <si>
    <t>ავტომობილების დილერები</t>
  </si>
  <si>
    <t>ჯანდაცვა</t>
  </si>
  <si>
    <t>ფარმაცევტიკა</t>
  </si>
  <si>
    <t>ტელეკომუნიკაცია</t>
  </si>
  <si>
    <t>სერვისი</t>
  </si>
  <si>
    <t>სოფლის მეურნეობის სექტორი</t>
  </si>
  <si>
    <t xml:space="preserve">აქტივები, რომლებზეც არ არის აღრიცხული დაფარვის წყაროს სექტორი </t>
  </si>
  <si>
    <t>ცხრილი 20</t>
  </si>
  <si>
    <t>მოსალოდნელი საკრედიტო ზარალის ცვლილება სესხებზე და კორპორატიულ სავალო ფასიანი ქაღალდებზე</t>
  </si>
  <si>
    <t>სესხები</t>
  </si>
  <si>
    <t>კორპორატიული ფასიანი ქაღალდები</t>
  </si>
  <si>
    <t>მოსალოდნელი საკრედიტო ზარალი საანგარიშგებო პერიოდის დასაწყისისათვის</t>
  </si>
  <si>
    <t>მოსალოდნელი საკრედიტო ზარალის ზრდა</t>
  </si>
  <si>
    <t>ახალი აქტივების წარმოშობის შედეგად</t>
  </si>
  <si>
    <t>არსებული აქტივების ხარისხის გაუარესების შედეგად</t>
  </si>
  <si>
    <t>მოსალოდნელი საკრედიტო ზარალის შემცირება</t>
  </si>
  <si>
    <t>აქტივების ჩამოწერის შედეგად</t>
  </si>
  <si>
    <t>აქტივების დაფარვის შედეგად</t>
  </si>
  <si>
    <t>აქტივების ხარისხის გაუმჯობესების შედეგად</t>
  </si>
  <si>
    <t>აქტივების მოსალოდნელი საკრედიტო ზარალის შემცირება/ზრდა ლარის მიმართ უცხოური ვალუტის ცვლილების შედეგად</t>
  </si>
  <si>
    <t>აქტივების მოსალოდნელი საკრედიტო ზარალი საანგარიშგებო პერიოდის ბოლოსათვის</t>
  </si>
  <si>
    <t>ცხრილი 21</t>
  </si>
  <si>
    <t>უმოქმედო სესხების მთლიანი ღირებულება</t>
  </si>
  <si>
    <t>უმოქმედო სესხების შემცირებასთან დაკავშირებული წმინდა კუმულატიური ამოღება</t>
  </si>
  <si>
    <t>საწყისი ბალანსი</t>
  </si>
  <si>
    <t>პერიოდის მანძილზე უმოქმედოდ კლასიფიცირებული სესხების ზრდა</t>
  </si>
  <si>
    <t>პერიოდის მანძილზე უმოქმედოდ კლასიფიცირებული სესხების ზრდა, ლარის მიმართ უცხოური ვალუტის გაცვლითი კურსის ცვლილების შედეგად</t>
  </si>
  <si>
    <t>პერიოდის მანძილზე უმოქმედოდ კლასიფიცირებული სესხების შემცირება</t>
  </si>
  <si>
    <t>პერიოდის მანძილზე უმოქმედოდ კლასიფიცირებული სესხების შემცირება, საკრედიტო რისკის დონის შემცირების გზით</t>
  </si>
  <si>
    <t>პერიოდის მანძილზე უმოქმედოდ კლასიფიცირებული სესხების შემცირება, ნაწილობრივი ან სრული დაფარვის გზით</t>
  </si>
  <si>
    <t>პერიოდის მანძილზე უმოქმედოდ კლასიფიცირებული სესხების შემცირება, მათი ჩამოწერის გზით</t>
  </si>
  <si>
    <t>პერიოდის მანძილზე უმოქმედოდ კლასიფიცირებული სესხების შემცირება, უზრუნველყოფის დასაკუთრების გზით</t>
  </si>
  <si>
    <t>პერიოდის მანძილზე უმოქმედოდ კლასიფიცირებული სესხების შემცირება, მათი გაყიდვის გზით</t>
  </si>
  <si>
    <t>პერიოდის მანძილზე უმოქმედოდ კლასიფიცირებული სესხების შემცირება, სხვა ცვლილებით</t>
  </si>
  <si>
    <t>პერიოდის მანძილზე უმოქმედოდ კლასიფიცირებული სესხების შემცირება, ლარის მიმართ უცხოური ვალუტის გაცვლითი კურსის ცვლილების შედეგად</t>
  </si>
  <si>
    <t>ბალანსი პერიოდის ბოლოს</t>
  </si>
  <si>
    <t>ცხრილი 22</t>
  </si>
  <si>
    <t>სესხების, სავალო ფასიანი ქაღალდების და გარესაბალანსო ვალდებულებების განაწილება, საკრედიტო რისკის დონის, ვადაგადაცილების და მსესხებლის ტიპის მიხედვით</t>
  </si>
  <si>
    <t>მთლიანი ღირებულება სესხებისთვის და სავალო ფასიანი ქაღალდებისათვის, გარესაბალანსო ვალდებულებებისთვის ნომინალური ღირებულება მოსალოდენელი საკრედიტო ზარალის დაკლებამდე</t>
  </si>
  <si>
    <t>1-ი დონის საკრედიტო რისკი</t>
  </si>
  <si>
    <t>მე-2 დონის საკრედიტო რისკი</t>
  </si>
  <si>
    <t>მე-3 დონის საკრედიტო რისკი</t>
  </si>
  <si>
    <t>შეძენილი ან გამოშვებული გაუფასურებული ფინანსური ინსტრუმნეტი (POCI)</t>
  </si>
  <si>
    <t>ვადაგადაცილება ≤ 30 დღეზე</t>
  </si>
  <si>
    <r>
      <t xml:space="preserve">ვადაგადაცილება &gt; 30 დღეზე  </t>
    </r>
    <r>
      <rPr>
        <sz val="9"/>
        <rFont val="Calibri"/>
        <family val="2"/>
      </rPr>
      <t>≤</t>
    </r>
    <r>
      <rPr>
        <sz val="9"/>
        <rFont val="Sylfaen"/>
        <family val="1"/>
      </rPr>
      <t xml:space="preserve"> 90 დღეზე </t>
    </r>
  </si>
  <si>
    <t>ვადაგადაცილება &gt; 90 დღეზე</t>
  </si>
  <si>
    <r>
      <t xml:space="preserve">ვადაგადაცილება &gt; 90 დღეზე  </t>
    </r>
    <r>
      <rPr>
        <sz val="9"/>
        <rFont val="Calibri"/>
        <family val="2"/>
      </rPr>
      <t>≤</t>
    </r>
    <r>
      <rPr>
        <sz val="9"/>
        <rFont val="Sylfaen"/>
        <family val="1"/>
      </rPr>
      <t xml:space="preserve"> 180 დღეზე </t>
    </r>
  </si>
  <si>
    <r>
      <t xml:space="preserve">ვადაგადაცილება &gt; 180 დღეზე  </t>
    </r>
    <r>
      <rPr>
        <sz val="9"/>
        <rFont val="Calibri"/>
        <family val="2"/>
      </rPr>
      <t>≤</t>
    </r>
    <r>
      <rPr>
        <sz val="9"/>
        <rFont val="Sylfaen"/>
        <family val="1"/>
      </rPr>
      <t xml:space="preserve"> 1 წელზე </t>
    </r>
  </si>
  <si>
    <r>
      <t xml:space="preserve">ვადაგადაცილება &gt; 1 წელზე  </t>
    </r>
    <r>
      <rPr>
        <sz val="9"/>
        <rFont val="Calibri"/>
        <family val="2"/>
      </rPr>
      <t>≤</t>
    </r>
    <r>
      <rPr>
        <sz val="9"/>
        <rFont val="Sylfaen"/>
        <family val="1"/>
      </rPr>
      <t xml:space="preserve"> 2 წელზე</t>
    </r>
  </si>
  <si>
    <r>
      <t xml:space="preserve">ვადაგადაცილება &gt; 2 წელზე  </t>
    </r>
    <r>
      <rPr>
        <sz val="9"/>
        <rFont val="Calibri"/>
        <family val="2"/>
      </rPr>
      <t>≤</t>
    </r>
    <r>
      <rPr>
        <sz val="9"/>
        <rFont val="Sylfaen"/>
        <family val="1"/>
      </rPr>
      <t xml:space="preserve"> 5 წელზე</t>
    </r>
  </si>
  <si>
    <t>ვადაგადაცილება &gt; 5 წელზე</t>
  </si>
  <si>
    <t>ცენტრალური ბანკები</t>
  </si>
  <si>
    <t>ცენტრალური მთავრობები</t>
  </si>
  <si>
    <t>საკრედიტო ინსტიტუტები</t>
  </si>
  <si>
    <t>სხვა ფინანსური კორპორაციები</t>
  </si>
  <si>
    <t>არაფინანსური კორპორაციები</t>
  </si>
  <si>
    <t>შინამეურნეობები</t>
  </si>
  <si>
    <t>გარესაბალანსო ვალდებულებები</t>
  </si>
  <si>
    <t>ცხრილი 23</t>
  </si>
  <si>
    <t xml:space="preserve">სესხების მთლიანი ღირებულების, უზრუნველყოფის კოეფიციენტის მიხედვით განაწილებული სესხების, სესხებზე მოსალოდნელი საკრედიტო ზარალის, სესხებზე უზრუნველყოფის ღირებულების და გარანტით უზრუნველყოფილი სესხების განაწილება საკრედიტო რისკის და ვადაგადაცილებების მიხედვით.
  </t>
  </si>
  <si>
    <t>სესხების მთლიანი ღირებულება</t>
  </si>
  <si>
    <t xml:space="preserve">ვადაგადაცილება &gt; 30 დღეზე  ≤ 90 დღეზე </t>
  </si>
  <si>
    <t xml:space="preserve">ვადაგადაცილება &gt; 90 დღეზე  ≤ 180 დღეზე </t>
  </si>
  <si>
    <t xml:space="preserve">ვადაგადაცილება &gt; 180 დღეზე  ≤ 1 წელზე </t>
  </si>
  <si>
    <t>ვადაგადაცილება &gt; 1 წელზე  ≤ 2 წელზე</t>
  </si>
  <si>
    <t>ვადაგადაცილება &gt; 2 წელზე  ≤ 5 წელზე</t>
  </si>
  <si>
    <t>უზრუნველყოფილი სესხები</t>
  </si>
  <si>
    <t>უძრავი ქონებით უზრუნველყოფილი სესხები</t>
  </si>
  <si>
    <t>1.1.1.1</t>
  </si>
  <si>
    <t>LTV ≤70%</t>
  </si>
  <si>
    <t>1.1.1.2</t>
  </si>
  <si>
    <t>LTV &gt;70% ≤85%</t>
  </si>
  <si>
    <t>1.1.1.3</t>
  </si>
  <si>
    <t>LTV &gt;85% ≤100%</t>
  </si>
  <si>
    <t>1.1.1.4</t>
  </si>
  <si>
    <t>LTV &gt;100%</t>
  </si>
  <si>
    <t>მოსალოდნელი საკრედიტო ზარალი უზრუნველყოფილ სესხებზე</t>
  </si>
  <si>
    <t>დაგირავებული უზრუნველყოფა</t>
  </si>
  <si>
    <t>1.3.1</t>
  </si>
  <si>
    <t>უზრუნველყოფის ღირებულება -  მინიმუმი სესხის მთლიან ღირებულებასა და უზრუნველყოფის საბაზრო ღირებულებას შორის</t>
  </si>
  <si>
    <t>1.3.1.1</t>
  </si>
  <si>
    <t>უზრუნველყოფის ღირებულება (უძრავი ქონება) -  მინიმუმი სესხის მთლიან ღირებულებასა და უზრუნველყოფის საბაზრო ღირებულებას შორის</t>
  </si>
  <si>
    <t>1.3.2</t>
  </si>
  <si>
    <t>უზრუნველყოფის ღირებულება -  სესხის მთლიანი ღირებულების ზემოთ</t>
  </si>
  <si>
    <t>1.3.2.1</t>
  </si>
  <si>
    <t>უზრუნველყოფის ღირებულება (უძრავი ქონება) -   სესხის მთლიანი ღირებულების ზემოთ</t>
  </si>
  <si>
    <t>სახელმწიფოს, სახელმწიფო დაწესებულების გარანტიით უზრუნველყოფილი სესხები</t>
  </si>
  <si>
    <t>ბანკის ან/და საფინანსო ინსტიტუტის გარანტიით უზრუნველყოფილი სესხები</t>
  </si>
  <si>
    <t>ცხრილი 24</t>
  </si>
  <si>
    <t xml:space="preserve">                                                                                                     სესხები
                                                                                                                                                                                                             სექტორი დაფარვის წყაროს მიხედვით</t>
  </si>
  <si>
    <t>მოსლაოდნელი საკრედიტო ზარალი</t>
  </si>
  <si>
    <t xml:space="preserve">სესხები, რომლებზეც არ არის აღრიცხული დაფარვის წყაროს სექტორი </t>
  </si>
  <si>
    <t>ცხრილი 25</t>
  </si>
  <si>
    <t>ზ</t>
  </si>
  <si>
    <t>თ</t>
  </si>
  <si>
    <t>ი</t>
  </si>
  <si>
    <t xml:space="preserve">                             სესხების და კორპორატიული ფასიანი ქაღალდების მთლიანი ღირებულების და გარესაბალანსო ვალდებულებების ნომინალური ღირებულების  - განაწილება უზრუნველყოფების მიხედვით
სესხები, კორპორატიული სავალო ფასიანი ქაღალდები და გარესაბალანსო ვალდებულებები </t>
  </si>
  <si>
    <t>დეპოზიტით უზრუნველყოფილი ვალდებულებების  ღირებულება</t>
  </si>
  <si>
    <t>სახელმწიფოს, სახელმწიფო დაწესებულების გარანტიით უზრუნველყოფილი ვალდებულებების ღირებულება</t>
  </si>
  <si>
    <t>ბანკის ან/და საფინანსო ინსტიტუტის გარანტიით უზრუნველყოფილი ვალდებულებების ღირებულება</t>
  </si>
  <si>
    <t>ოქრო/ოქროს ნაკეთობებით უზრუნველყოფილი ვალდებულების საბაზრო ღირებულება</t>
  </si>
  <si>
    <t>უძრავი ქონებით უზრუნველყოფილი ვალდებულებების  ღირებულება</t>
  </si>
  <si>
    <t>აქციებით/წილებით და სხვა ფასიანი ქაღალდებით უზრუნველყოფილი ვალდებულებების  ღირებულება</t>
  </si>
  <si>
    <t>სხვა უზრუნველყოფილი ვალდებულებების  ღირებულება</t>
  </si>
  <si>
    <t>სხვა მესამე პირის თავდებობით უზრუნველყოფილი ვალდებულებების  ღირებულება</t>
  </si>
  <si>
    <t>არაუზრუნველყოფილი ვალდებულებების  ღირებულება</t>
  </si>
  <si>
    <t xml:space="preserve">სესხები </t>
  </si>
  <si>
    <t>კორპორატიული სავალო ფასიანი ქაღალდები</t>
  </si>
  <si>
    <t>მათ შორის:  უმოქმედო სესხები</t>
  </si>
  <si>
    <t>მათ შორის:  უმოქმედო კორპორატიული სავალო ფასიანი ქაღალდები</t>
  </si>
  <si>
    <t>მათ შორის:  უმოქმედო გარესაბალანსო ვალდებულებები</t>
  </si>
  <si>
    <t>ცხრილი 26</t>
  </si>
  <si>
    <t>საცალო პროდუქტები</t>
  </si>
  <si>
    <t>სესხების ძირი თანხა</t>
  </si>
  <si>
    <t xml:space="preserve">სესხების რაოდენობა </t>
  </si>
  <si>
    <t>საშუალო შეწონილი ნომინალური საპროცენტო განაკვეთი კვარტლის შიგნით გაცემულ სესხებზე</t>
  </si>
  <si>
    <t>საშუალო შეწონილი ეფექტური საპროცენტო განაკვეთი კვარტლის შიგნით გაცემულ სესხებზე</t>
  </si>
  <si>
    <t>საშუალო შეწონილი ნომინალური საპროცენტო განაკვეთი სესხის ნაშთზე</t>
  </si>
  <si>
    <t>სესხების საშუალო შეწონილი ვადიანობა სესხის ნაშთზე დარჩენილი ვადის მიხედვით (თვეებში)</t>
  </si>
  <si>
    <t>სატრანსპორტო სესხები</t>
  </si>
  <si>
    <t>სწრაფი სესხები (Pay Day Loans)</t>
  </si>
  <si>
    <t>მომენტალური განვადება</t>
  </si>
  <si>
    <t>ოვერდრაფტები</t>
  </si>
  <si>
    <t>საკრედიტო ბარათები</t>
  </si>
  <si>
    <t>იპოთეკური სესხები</t>
  </si>
  <si>
    <t>იპოთეკური სესხები - დასრულებული უძრავი ქონების შეძენა</t>
  </si>
  <si>
    <t>იპოთეკური სესხები - მშენებლობა, მშენებლობის პროცესში მყოფი საცხოვრებელი უძრავი ქონების შეძენა</t>
  </si>
  <si>
    <t>იპოთეკური სესხები - მშენებლობა, მშენებლობის პროცესში მყოფი უძრავი ქონების შეძენა</t>
  </si>
  <si>
    <t>იპოთეკური სესხები - საცხოვრებელი უძრავი ქონების რემონტისათვის</t>
  </si>
  <si>
    <t>იპოთეკური სესხები - უძრავი ქონების რემონტისათვის</t>
  </si>
  <si>
    <t>იპოთეკური სესხები - კომერციული უძრავი ქონების რემონტისათვის</t>
  </si>
  <si>
    <t>საცალო ლომბარდული სესხები</t>
  </si>
  <si>
    <t>სტუდენტური სესხები</t>
  </si>
  <si>
    <t>სულ საცალო პროდუქტები</t>
  </si>
  <si>
    <t>მათ შორის: პენსიის ან სხვა სახელმწიფო სოციალური გასაცემელის გათვალისწინებით გაცემული სესხები</t>
  </si>
  <si>
    <t>4Q-2023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</si>
</sst>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409]mmm\-yy;@"/>
    <numFmt numFmtId="165" formatCode="#,##0_ ;[Red]\-#,##0\ "/>
    <numFmt numFmtId="166" formatCode="_(* #,##0_);_(* \(#,##0\);_(* &quot;-&quot;??_);_(@_)"/>
    <numFmt numFmtId="167" formatCode="0.0%"/>
    <numFmt numFmtId="168" formatCode="_(* #,##0.0_);_(* \(#,##0.0\);_(* &quot;-&quot;??_);_(@_)"/>
    <numFmt numFmtId="169" formatCode="_(#,##0_);_(\(#,##0\);_(\ \-\ _);_(@_)"/>
    <numFmt numFmtId="170" formatCode="_(* #,##0.0_);_(* \(#,##0.0\);_(* &quot;-&quot;?_);_(@_)"/>
    <numFmt numFmtId="171" formatCode="_-* #,##0.00_-;\-* #,##0.00_-;_-* &quot;-&quot;??_-;_-@_-"/>
  </numFmts>
  <fonts count="7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10"/>
      <name val="Arial"/>
      <family val="2"/>
    </font>
    <font>
      <b/>
      <sz val="11"/>
      <name val="Sylfaen"/>
      <family val="1"/>
    </font>
    <font>
      <sz val="10"/>
      <color theme="1"/>
      <name val="Sylfaen"/>
      <family val="1"/>
    </font>
    <font>
      <sz val="10"/>
      <name val="Calibri"/>
      <family val="2"/>
      <scheme val="minor"/>
    </font>
    <font>
      <sz val="10"/>
      <name val="Sylfaen"/>
      <family val="1"/>
    </font>
    <font>
      <sz val="11"/>
      <color theme="1"/>
      <name val="Sylfaen"/>
      <family val="1"/>
    </font>
    <font>
      <u/>
      <sz val="10"/>
      <color indexed="12"/>
      <name val="Arial"/>
      <family val="2"/>
    </font>
    <font>
      <b/>
      <i/>
      <sz val="10"/>
      <color theme="1"/>
      <name val="Sylfaen"/>
      <family val="1"/>
    </font>
    <font>
      <sz val="10"/>
      <color theme="1"/>
      <name val="Calibri"/>
      <family val="1"/>
      <scheme val="minor"/>
    </font>
    <font>
      <b/>
      <sz val="10"/>
      <name val="Sylfaen"/>
      <family val="1"/>
    </font>
    <font>
      <b/>
      <sz val="10"/>
      <name val="Calibri"/>
      <family val="2"/>
      <scheme val="minor"/>
    </font>
    <font>
      <b/>
      <i/>
      <sz val="10"/>
      <color theme="1"/>
      <name val="Calibri"/>
      <family val="2"/>
      <scheme val="minor"/>
    </font>
    <font>
      <b/>
      <i/>
      <sz val="11"/>
      <color theme="1"/>
      <name val="Calibri"/>
      <family val="2"/>
      <scheme val="minor"/>
    </font>
    <font>
      <sz val="10"/>
      <name val="MS Sans Serif"/>
      <family val="2"/>
    </font>
    <font>
      <b/>
      <i/>
      <sz val="10"/>
      <name val="Calibri"/>
      <family val="2"/>
      <scheme val="minor"/>
    </font>
    <font>
      <sz val="10"/>
      <color rgb="FF333333"/>
      <name val="Sylfaen"/>
      <family val="1"/>
    </font>
    <font>
      <sz val="10"/>
      <color rgb="FFFF0000"/>
      <name val="Calibri"/>
      <family val="2"/>
      <scheme val="minor"/>
    </font>
    <font>
      <b/>
      <sz val="12"/>
      <color theme="1"/>
      <name val="Calibri"/>
      <family val="2"/>
      <scheme val="minor"/>
    </font>
    <font>
      <b/>
      <sz val="8"/>
      <name val="Verdana"/>
      <family val="2"/>
    </font>
    <font>
      <sz val="8"/>
      <name val="Verdana"/>
      <family val="2"/>
    </font>
    <font>
      <b/>
      <sz val="8"/>
      <color indexed="8"/>
      <name val="Verdana"/>
      <family val="2"/>
    </font>
    <font>
      <sz val="8"/>
      <color indexed="8"/>
      <name val="Verdana"/>
      <family val="2"/>
    </font>
    <font>
      <b/>
      <sz val="11"/>
      <color indexed="8"/>
      <name val="Calibri"/>
      <family val="2"/>
      <scheme val="minor"/>
    </font>
    <font>
      <b/>
      <sz val="8"/>
      <color rgb="FF000000"/>
      <name val="Verdana"/>
      <family val="2"/>
    </font>
    <font>
      <b/>
      <sz val="11"/>
      <color rgb="FFFF0000"/>
      <name val="Calibri"/>
      <family val="2"/>
      <scheme val="minor"/>
    </font>
    <font>
      <sz val="11"/>
      <name val="Calibri"/>
      <family val="2"/>
      <charset val="204"/>
      <scheme val="minor"/>
    </font>
    <font>
      <i/>
      <sz val="11"/>
      <name val="Calibri"/>
      <family val="2"/>
      <scheme val="minor"/>
    </font>
    <font>
      <i/>
      <sz val="11"/>
      <name val="Calibri"/>
      <family val="2"/>
      <charset val="204"/>
      <scheme val="minor"/>
    </font>
    <font>
      <sz val="8"/>
      <color theme="1"/>
      <name val="Calibri"/>
      <family val="2"/>
      <scheme val="minor"/>
    </font>
    <font>
      <b/>
      <sz val="10"/>
      <color theme="1"/>
      <name val="Calibri"/>
      <family val="2"/>
      <scheme val="minor"/>
    </font>
    <font>
      <i/>
      <sz val="10"/>
      <name val="Sylfaen"/>
      <family val="1"/>
    </font>
    <font>
      <sz val="10"/>
      <color theme="1"/>
      <name val="Segoe UI"/>
      <family val="2"/>
    </font>
    <font>
      <sz val="10"/>
      <color theme="1"/>
      <name val="Times New Roman"/>
      <family val="1"/>
    </font>
    <font>
      <sz val="8"/>
      <color rgb="FFFF0000"/>
      <name val="Calibri"/>
      <family val="2"/>
      <scheme val="minor"/>
    </font>
    <font>
      <sz val="10"/>
      <name val="Arial"/>
      <family val="2"/>
      <charset val="204"/>
    </font>
    <font>
      <sz val="10"/>
      <name val="Geo_Arial"/>
      <family val="2"/>
    </font>
    <font>
      <sz val="10"/>
      <color rgb="FFFF0000"/>
      <name val="Sylfaen"/>
      <family val="1"/>
    </font>
    <font>
      <b/>
      <sz val="10"/>
      <color rgb="FFFF0000"/>
      <name val="Calibri"/>
      <family val="2"/>
      <scheme val="minor"/>
    </font>
    <font>
      <b/>
      <sz val="10"/>
      <name val="Calibri"/>
      <family val="1"/>
      <scheme val="minor"/>
    </font>
    <font>
      <sz val="10"/>
      <name val="Calibri"/>
      <family val="1"/>
      <scheme val="minor"/>
    </font>
    <font>
      <b/>
      <sz val="10"/>
      <color theme="1"/>
      <name val="Sylfaen"/>
      <family val="1"/>
    </font>
    <font>
      <i/>
      <sz val="10"/>
      <color theme="1"/>
      <name val="Sylfaen"/>
      <family val="1"/>
    </font>
    <font>
      <i/>
      <sz val="11"/>
      <color theme="1"/>
      <name val="Calibri"/>
      <family val="2"/>
      <scheme val="minor"/>
    </font>
    <font>
      <b/>
      <sz val="10"/>
      <color rgb="FFFF0000"/>
      <name val="Sylfaen"/>
      <family val="1"/>
    </font>
    <font>
      <sz val="10"/>
      <name val="SPKolheti"/>
      <family val="1"/>
    </font>
    <font>
      <sz val="9"/>
      <color theme="1"/>
      <name val="Calibri"/>
      <family val="2"/>
      <scheme val="minor"/>
    </font>
    <font>
      <i/>
      <sz val="10"/>
      <color theme="1"/>
      <name val="Calibri"/>
      <family val="2"/>
      <scheme val="minor"/>
    </font>
    <font>
      <b/>
      <sz val="9"/>
      <name val="Arial"/>
      <family val="2"/>
    </font>
    <font>
      <b/>
      <sz val="10"/>
      <name val="Arial"/>
      <family val="2"/>
    </font>
    <font>
      <sz val="9"/>
      <name val="Arial"/>
      <family val="2"/>
    </font>
    <font>
      <sz val="9"/>
      <name val="Calibri"/>
      <family val="2"/>
    </font>
    <font>
      <b/>
      <sz val="9"/>
      <name val="Calibri"/>
      <family val="2"/>
    </font>
    <font>
      <sz val="11"/>
      <color indexed="8"/>
      <name val="Calibri"/>
      <family val="2"/>
    </font>
    <font>
      <sz val="8"/>
      <name val="Arial"/>
      <family val="2"/>
    </font>
    <font>
      <sz val="9"/>
      <name val="Sylfaen"/>
      <family val="1"/>
    </font>
    <font>
      <sz val="9"/>
      <color theme="1"/>
      <name val="Sylfaen"/>
      <family val="1"/>
    </font>
    <font>
      <b/>
      <u/>
      <sz val="9"/>
      <name val="Sylfaen"/>
      <family val="1"/>
    </font>
    <font>
      <b/>
      <sz val="9"/>
      <name val="Sylfaen"/>
      <family val="1"/>
    </font>
    <font>
      <b/>
      <sz val="9"/>
      <color theme="1"/>
      <name val="Sylfaen"/>
      <family val="1"/>
    </font>
    <font>
      <sz val="9"/>
      <name val="Calibri"/>
      <family val="1"/>
      <scheme val="minor"/>
    </font>
    <font>
      <sz val="9"/>
      <color rgb="FFFF0000"/>
      <name val="Sylfaen"/>
      <family val="1"/>
    </font>
    <font>
      <i/>
      <sz val="9"/>
      <name val="Calibri"/>
      <family val="1"/>
      <scheme val="minor"/>
    </font>
    <font>
      <b/>
      <sz val="9"/>
      <name val="Calibri"/>
      <family val="1"/>
      <scheme val="minor"/>
    </font>
    <font>
      <b/>
      <sz val="9"/>
      <color rgb="FFFF0000"/>
      <name val="Sylfaen"/>
      <family val="1"/>
    </font>
    <font>
      <sz val="10"/>
      <color rgb="FF000000"/>
      <name val="Calibri"/>
      <family val="2"/>
      <scheme val="minor"/>
    </font>
    <font>
      <b/>
      <u/>
      <sz val="9"/>
      <color theme="1"/>
      <name val="Sylfaen"/>
      <family val="1"/>
    </font>
    <font>
      <sz val="9"/>
      <color rgb="FFFF0000"/>
      <name val="Calibri"/>
      <family val="1"/>
      <scheme val="minor"/>
    </font>
    <font>
      <sz val="9"/>
      <color theme="1"/>
      <name val="Calibri"/>
      <family val="1"/>
      <scheme val="minor"/>
    </font>
    <font>
      <b/>
      <sz val="8"/>
      <name val="Sylfaen"/>
      <family val="1"/>
    </font>
    <font>
      <sz val="1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lightGray">
        <fgColor indexed="22"/>
      </patternFill>
    </fill>
    <fill>
      <patternFill patternType="lightGray">
        <fgColor indexed="22"/>
        <bgColor theme="0" tint="-4.9989318521683403E-2"/>
      </patternFill>
    </fill>
    <fill>
      <patternFill patternType="solid">
        <fgColor rgb="FFFFFFFF"/>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5F5F5F"/>
        <bgColor indexed="64"/>
      </patternFill>
    </fill>
    <fill>
      <patternFill patternType="solid">
        <fgColor theme="0" tint="-0.249977111117893"/>
        <bgColor indexed="64"/>
      </patternFill>
    </fill>
    <fill>
      <patternFill patternType="solid">
        <fgColor indexed="9"/>
        <bgColor indexed="64"/>
      </patternFill>
    </fill>
    <fill>
      <patternFill patternType="solid">
        <fgColor rgb="FFFFFF00"/>
        <bgColor indexed="64"/>
      </patternFill>
    </fill>
    <fill>
      <patternFill patternType="solid">
        <fgColor theme="0" tint="-0.34998626667073579"/>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auto="1"/>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auto="1"/>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theme="6" tint="-0.499984740745262"/>
      </left>
      <right style="thin">
        <color theme="6" tint="-0.499984740745262"/>
      </right>
      <top style="thin">
        <color indexed="64"/>
      </top>
      <bottom style="thin">
        <color theme="6" tint="-0.499984740745262"/>
      </bottom>
      <diagonal/>
    </border>
    <border>
      <left style="thin">
        <color theme="6" tint="-0.499984740745262"/>
      </left>
      <right style="medium">
        <color indexed="64"/>
      </right>
      <top style="thin">
        <color indexed="64"/>
      </top>
      <bottom style="thin">
        <color theme="6" tint="-0.499984740745262"/>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medium">
        <color indexed="64"/>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medium">
        <color indexed="64"/>
      </right>
      <top style="thin">
        <color theme="6" tint="-0.499984740745262"/>
      </top>
      <bottom/>
      <diagonal/>
    </border>
    <border>
      <left style="thin">
        <color theme="6" tint="-0.499984740745262"/>
      </left>
      <right style="medium">
        <color indexed="64"/>
      </right>
      <top style="thin">
        <color indexed="64"/>
      </top>
      <bottom style="thin">
        <color indexed="64"/>
      </bottom>
      <diagonal/>
    </border>
    <border>
      <left style="thin">
        <color theme="6" tint="-0.499984740745262"/>
      </left>
      <right style="thin">
        <color theme="6" tint="-0.499984740745262"/>
      </right>
      <top/>
      <bottom style="thin">
        <color theme="6" tint="-0.499984740745262"/>
      </bottom>
      <diagonal/>
    </border>
    <border>
      <left style="thin">
        <color theme="6" tint="-0.499984740745262"/>
      </left>
      <right style="medium">
        <color indexed="64"/>
      </right>
      <top/>
      <bottom style="thin">
        <color theme="6" tint="-0.499984740745262"/>
      </bottom>
      <diagonal/>
    </border>
    <border>
      <left style="thin">
        <color theme="6" tint="-0.499984740745262"/>
      </left>
      <right style="medium">
        <color indexed="64"/>
      </right>
      <top/>
      <bottom/>
      <diagonal/>
    </border>
    <border>
      <left style="thin">
        <color theme="6" tint="-0.499984740745262"/>
      </left>
      <right style="thin">
        <color theme="6" tint="-0.499984740745262"/>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auto="1"/>
      </right>
      <top style="medium">
        <color auto="1"/>
      </top>
      <bottom style="medium">
        <color indexed="64"/>
      </bottom>
      <diagonal/>
    </border>
    <border>
      <left style="thin">
        <color auto="1"/>
      </left>
      <right/>
      <top style="medium">
        <color auto="1"/>
      </top>
      <bottom style="medium">
        <color auto="1"/>
      </bottom>
      <diagonal/>
    </border>
    <border>
      <left style="thin">
        <color auto="1"/>
      </left>
      <right style="medium">
        <color indexed="64"/>
      </right>
      <top style="medium">
        <color auto="1"/>
      </top>
      <bottom style="medium">
        <color indexed="64"/>
      </bottom>
      <diagonal/>
    </border>
    <border>
      <left/>
      <right style="thin">
        <color indexed="64"/>
      </right>
      <top style="medium">
        <color indexed="64"/>
      </top>
      <bottom/>
      <diagonal/>
    </border>
    <border>
      <left/>
      <right style="medium">
        <color indexed="64"/>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n">
        <color indexed="64"/>
      </right>
      <top style="thin">
        <color indexed="64"/>
      </top>
      <bottom/>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medium">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s>
  <cellStyleXfs count="22">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alignment vertical="top"/>
      <protection locked="0"/>
    </xf>
    <xf numFmtId="0" fontId="5" fillId="0" borderId="0"/>
    <xf numFmtId="0" fontId="5" fillId="0" borderId="0"/>
    <xf numFmtId="164" fontId="18" fillId="4" borderId="0"/>
    <xf numFmtId="0" fontId="5" fillId="0" borderId="0"/>
    <xf numFmtId="0" fontId="39" fillId="0" borderId="0"/>
    <xf numFmtId="0" fontId="39" fillId="0" borderId="0"/>
    <xf numFmtId="43" fontId="1" fillId="0" borderId="0" applyFont="0" applyFill="0" applyBorder="0" applyAlignment="0" applyProtection="0"/>
    <xf numFmtId="0" fontId="1" fillId="0" borderId="0"/>
    <xf numFmtId="0" fontId="1"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alignment vertical="center"/>
    </xf>
    <xf numFmtId="43" fontId="5" fillId="0" borderId="0" applyFont="0" applyFill="0" applyBorder="0" applyAlignment="0" applyProtection="0"/>
    <xf numFmtId="43" fontId="57" fillId="0" borderId="0" applyFont="0" applyFill="0" applyBorder="0" applyAlignment="0" applyProtection="0"/>
    <xf numFmtId="0" fontId="5" fillId="0" borderId="0"/>
    <xf numFmtId="171" fontId="1" fillId="0" borderId="0" applyFont="0" applyFill="0" applyBorder="0" applyAlignment="0" applyProtection="0"/>
  </cellStyleXfs>
  <cellXfs count="918">
    <xf numFmtId="0" fontId="0" fillId="0" borderId="0" xfId="0"/>
    <xf numFmtId="0" fontId="4" fillId="0" borderId="1" xfId="0" applyFont="1" applyBorder="1"/>
    <xf numFmtId="0" fontId="6" fillId="0" borderId="1" xfId="4" applyFont="1" applyBorder="1" applyAlignment="1">
      <alignment horizontal="center" vertical="center"/>
    </xf>
    <xf numFmtId="0" fontId="7" fillId="0" borderId="1" xfId="0" applyFont="1" applyBorder="1"/>
    <xf numFmtId="0" fontId="8" fillId="2" borderId="1" xfId="4" applyFont="1" applyFill="1" applyBorder="1" applyAlignment="1">
      <alignment horizontal="right" indent="1"/>
    </xf>
    <xf numFmtId="0" fontId="9" fillId="2" borderId="1" xfId="4" applyFont="1" applyFill="1" applyBorder="1" applyAlignment="1">
      <alignment horizontal="left" wrapText="1" indent="1"/>
    </xf>
    <xf numFmtId="0" fontId="10" fillId="0" borderId="1" xfId="0" applyFont="1" applyBorder="1"/>
    <xf numFmtId="0" fontId="1" fillId="0" borderId="0" xfId="0" applyFont="1"/>
    <xf numFmtId="0" fontId="9" fillId="0" borderId="1" xfId="4" applyFont="1" applyBorder="1" applyAlignment="1">
      <alignment horizontal="left" wrapText="1" indent="1"/>
    </xf>
    <xf numFmtId="0" fontId="8" fillId="2" borderId="2" xfId="4" applyFont="1" applyFill="1" applyBorder="1" applyAlignment="1">
      <alignment horizontal="right" indent="1"/>
    </xf>
    <xf numFmtId="0" fontId="9" fillId="0" borderId="2" xfId="4" applyFont="1" applyBorder="1" applyAlignment="1">
      <alignment horizontal="left" wrapText="1" indent="1"/>
    </xf>
    <xf numFmtId="0" fontId="11" fillId="0" borderId="1" xfId="3" applyBorder="1" applyAlignment="1" applyProtection="1"/>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0" xfId="0" applyFont="1" applyAlignment="1">
      <alignment wrapText="1"/>
    </xf>
    <xf numFmtId="0" fontId="8" fillId="2" borderId="1" xfId="4" applyFont="1" applyFill="1" applyBorder="1"/>
    <xf numFmtId="0" fontId="11" fillId="0" borderId="1" xfId="3" applyFill="1" applyBorder="1" applyAlignment="1" applyProtection="1"/>
    <xf numFmtId="0" fontId="11" fillId="0" borderId="1" xfId="3" applyFill="1" applyBorder="1" applyAlignment="1" applyProtection="1">
      <alignment horizontal="left" vertical="center" wrapText="1"/>
    </xf>
    <xf numFmtId="49" fontId="13" fillId="0" borderId="1" xfId="0" applyNumberFormat="1" applyFont="1" applyBorder="1" applyAlignment="1">
      <alignment horizontal="right" vertical="center" wrapText="1"/>
    </xf>
    <xf numFmtId="0" fontId="11" fillId="0" borderId="1" xfId="3" applyFill="1" applyBorder="1" applyAlignment="1" applyProtection="1">
      <alignment horizontal="left" vertical="center"/>
    </xf>
    <xf numFmtId="0" fontId="11" fillId="0" borderId="1" xfId="3" applyFill="1" applyBorder="1" applyAlignment="1" applyProtection="1">
      <alignment vertical="top" wrapText="1"/>
    </xf>
    <xf numFmtId="0" fontId="11" fillId="0" borderId="1" xfId="3" applyFill="1" applyBorder="1" applyAlignment="1" applyProtection="1">
      <alignment horizontal="left" vertical="top" wrapText="1"/>
    </xf>
    <xf numFmtId="0" fontId="4" fillId="0" borderId="0" xfId="0" applyFont="1"/>
    <xf numFmtId="0" fontId="9" fillId="0" borderId="0" xfId="5" applyFont="1"/>
    <xf numFmtId="43" fontId="8" fillId="0" borderId="0" xfId="1" applyFont="1"/>
    <xf numFmtId="0" fontId="8" fillId="0" borderId="0" xfId="0" applyFont="1"/>
    <xf numFmtId="14" fontId="4" fillId="0" borderId="0" xfId="0" applyNumberFormat="1" applyFont="1" applyAlignment="1">
      <alignment horizontal="left"/>
    </xf>
    <xf numFmtId="0" fontId="3" fillId="0" borderId="0" xfId="0" applyFont="1"/>
    <xf numFmtId="0" fontId="9" fillId="0" borderId="5" xfId="0" applyFont="1" applyBorder="1"/>
    <xf numFmtId="0" fontId="14" fillId="0" borderId="5" xfId="0" applyFont="1" applyBorder="1" applyAlignment="1">
      <alignment horizontal="center"/>
    </xf>
    <xf numFmtId="0" fontId="15"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7" fillId="3" borderId="6" xfId="0" applyFont="1" applyFill="1" applyBorder="1" applyAlignment="1">
      <alignment horizontal="center" wrapText="1"/>
    </xf>
    <xf numFmtId="0" fontId="17" fillId="3" borderId="7" xfId="0" applyFont="1" applyFill="1" applyBorder="1" applyAlignment="1">
      <alignment horizontal="center" wrapText="1"/>
    </xf>
    <xf numFmtId="0" fontId="17" fillId="3" borderId="8" xfId="0" applyFont="1" applyFill="1" applyBorder="1" applyAlignment="1">
      <alignment horizontal="center" wrapText="1"/>
    </xf>
    <xf numFmtId="0" fontId="9" fillId="0" borderId="9" xfId="0" applyFont="1" applyBorder="1" applyAlignment="1">
      <alignment horizontal="right" vertical="center" wrapText="1"/>
    </xf>
    <xf numFmtId="0" fontId="8" fillId="0" borderId="10" xfId="0" applyFont="1" applyBorder="1" applyAlignment="1">
      <alignment vertical="center" wrapText="1"/>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0" fontId="5" fillId="0" borderId="9" xfId="0" applyFont="1" applyBorder="1" applyAlignment="1">
      <alignment horizontal="left" vertical="center" wrapText="1" indent="1"/>
    </xf>
    <xf numFmtId="0" fontId="9" fillId="0" borderId="12" xfId="0" applyFont="1" applyBorder="1" applyAlignment="1">
      <alignment horizontal="center" vertical="center" wrapText="1"/>
    </xf>
    <xf numFmtId="0" fontId="15" fillId="0" borderId="1" xfId="0" applyFont="1" applyBorder="1" applyAlignment="1">
      <alignment horizontal="center" vertical="center" wrapText="1"/>
    </xf>
    <xf numFmtId="164" fontId="18" fillId="5" borderId="3" xfId="6" applyFill="1" applyBorder="1" applyAlignment="1">
      <alignment horizontal="center"/>
    </xf>
    <xf numFmtId="164" fontId="18" fillId="5" borderId="4" xfId="6" applyFill="1" applyBorder="1" applyAlignment="1">
      <alignment horizontal="center"/>
    </xf>
    <xf numFmtId="164" fontId="18" fillId="5" borderId="13" xfId="6" applyFill="1" applyBorder="1" applyAlignment="1">
      <alignment horizontal="center"/>
    </xf>
    <xf numFmtId="164" fontId="18" fillId="5" borderId="14" xfId="6" applyFill="1" applyBorder="1" applyAlignment="1">
      <alignment horizontal="center"/>
    </xf>
    <xf numFmtId="0" fontId="19" fillId="0" borderId="1" xfId="0" applyFont="1" applyBorder="1" applyAlignment="1">
      <alignment horizontal="left" vertical="center" wrapText="1"/>
    </xf>
    <xf numFmtId="164" fontId="18" fillId="5" borderId="15" xfId="6" applyFill="1" applyBorder="1" applyAlignment="1">
      <alignment horizontal="center"/>
    </xf>
    <xf numFmtId="164" fontId="18" fillId="5" borderId="16" xfId="6" applyFill="1" applyBorder="1" applyAlignment="1">
      <alignment horizontal="center"/>
    </xf>
    <xf numFmtId="164" fontId="18" fillId="5" borderId="17" xfId="6" applyFill="1" applyBorder="1" applyAlignment="1">
      <alignment horizontal="center"/>
    </xf>
    <xf numFmtId="164" fontId="18" fillId="5" borderId="18" xfId="6" applyFill="1" applyBorder="1" applyAlignment="1">
      <alignment horizontal="center"/>
    </xf>
    <xf numFmtId="0" fontId="9" fillId="0" borderId="12" xfId="0" applyFont="1" applyBorder="1" applyAlignment="1">
      <alignment horizontal="right" vertical="center" wrapText="1"/>
    </xf>
    <xf numFmtId="0" fontId="8" fillId="0" borderId="1" xfId="0" applyFont="1" applyBorder="1" applyAlignment="1">
      <alignment vertical="center" wrapText="1"/>
    </xf>
    <xf numFmtId="165" fontId="8" fillId="0" borderId="1" xfId="0" applyNumberFormat="1" applyFont="1" applyBorder="1" applyAlignment="1" applyProtection="1">
      <alignment vertical="center" wrapText="1"/>
      <protection locked="0"/>
    </xf>
    <xf numFmtId="165" fontId="4" fillId="0" borderId="1" xfId="0" applyNumberFormat="1" applyFont="1" applyBorder="1" applyAlignment="1" applyProtection="1">
      <alignment vertical="center" wrapText="1"/>
      <protection locked="0"/>
    </xf>
    <xf numFmtId="165" fontId="4" fillId="0" borderId="19" xfId="0" applyNumberFormat="1" applyFont="1" applyBorder="1" applyAlignment="1" applyProtection="1">
      <alignment vertical="center" wrapText="1"/>
      <protection locked="0"/>
    </xf>
    <xf numFmtId="165" fontId="4" fillId="0" borderId="12" xfId="0" applyNumberFormat="1" applyFont="1" applyBorder="1" applyAlignment="1" applyProtection="1">
      <alignment vertical="center" wrapText="1"/>
      <protection locked="0"/>
    </xf>
    <xf numFmtId="166" fontId="0" fillId="0" borderId="0" xfId="1" applyNumberFormat="1" applyFont="1"/>
    <xf numFmtId="165" fontId="0" fillId="0" borderId="0" xfId="0" applyNumberFormat="1"/>
    <xf numFmtId="164" fontId="18" fillId="5" borderId="20" xfId="6" applyFill="1" applyBorder="1"/>
    <xf numFmtId="164" fontId="18" fillId="5" borderId="21" xfId="6" applyFill="1" applyBorder="1"/>
    <xf numFmtId="164" fontId="18" fillId="5" borderId="22" xfId="6" applyFill="1" applyBorder="1"/>
    <xf numFmtId="164" fontId="18" fillId="5" borderId="23" xfId="6" applyFill="1" applyBorder="1" applyAlignment="1">
      <alignment horizontal="center"/>
    </xf>
    <xf numFmtId="164" fontId="18" fillId="5" borderId="21" xfId="6" applyFill="1" applyBorder="1" applyAlignment="1">
      <alignment horizontal="center"/>
    </xf>
    <xf numFmtId="164" fontId="18" fillId="5" borderId="22" xfId="6" applyFill="1" applyBorder="1" applyAlignment="1">
      <alignment horizontal="center"/>
    </xf>
    <xf numFmtId="165" fontId="8" fillId="0" borderId="1" xfId="0" applyNumberFormat="1" applyFont="1" applyBorder="1" applyAlignment="1" applyProtection="1">
      <alignment horizontal="right" vertical="center" wrapText="1"/>
      <protection locked="0"/>
    </xf>
    <xf numFmtId="164" fontId="18" fillId="5" borderId="3" xfId="6" applyFill="1" applyBorder="1"/>
    <xf numFmtId="164" fontId="18" fillId="5" borderId="4" xfId="6" applyFill="1" applyBorder="1"/>
    <xf numFmtId="164" fontId="18" fillId="5" borderId="13" xfId="6" applyFill="1" applyBorder="1"/>
    <xf numFmtId="164" fontId="18" fillId="5" borderId="15" xfId="6" applyFill="1" applyBorder="1"/>
    <xf numFmtId="164" fontId="18" fillId="5" borderId="16" xfId="6" applyFill="1" applyBorder="1"/>
    <xf numFmtId="164" fontId="18" fillId="5" borderId="17" xfId="6" applyFill="1" applyBorder="1"/>
    <xf numFmtId="10" fontId="4" fillId="0" borderId="1" xfId="2" applyNumberFormat="1" applyFont="1" applyFill="1" applyBorder="1" applyAlignment="1" applyProtection="1">
      <alignment horizontal="right" vertical="center" wrapText="1"/>
      <protection locked="0"/>
    </xf>
    <xf numFmtId="10" fontId="4" fillId="0" borderId="12" xfId="2" applyNumberFormat="1" applyFont="1" applyBorder="1" applyAlignment="1" applyProtection="1">
      <alignment vertical="center" wrapText="1"/>
      <protection locked="0"/>
    </xf>
    <xf numFmtId="10" fontId="4" fillId="0" borderId="1" xfId="2" applyNumberFormat="1" applyFont="1" applyBorder="1" applyAlignment="1" applyProtection="1">
      <alignment vertical="center" wrapText="1"/>
      <protection locked="0"/>
    </xf>
    <xf numFmtId="10" fontId="4" fillId="0" borderId="19" xfId="2" applyNumberFormat="1" applyFont="1" applyBorder="1" applyAlignment="1" applyProtection="1">
      <alignment vertical="center" wrapText="1"/>
      <protection locked="0"/>
    </xf>
    <xf numFmtId="10" fontId="4" fillId="0" borderId="1" xfId="2" applyNumberFormat="1" applyFont="1" applyFill="1" applyBorder="1" applyAlignment="1" applyProtection="1">
      <alignment vertical="center" wrapText="1"/>
      <protection locked="0"/>
    </xf>
    <xf numFmtId="0" fontId="8" fillId="0" borderId="1" xfId="0" applyFont="1" applyBorder="1" applyAlignment="1">
      <alignment vertical="top" wrapText="1"/>
    </xf>
    <xf numFmtId="0" fontId="9" fillId="6" borderId="12" xfId="0" applyFont="1" applyFill="1" applyBorder="1" applyAlignment="1">
      <alignment horizontal="right" vertical="center"/>
    </xf>
    <xf numFmtId="0" fontId="9" fillId="6" borderId="1" xfId="0" applyFont="1" applyFill="1" applyBorder="1" applyAlignment="1">
      <alignment vertical="center"/>
    </xf>
    <xf numFmtId="9" fontId="9" fillId="0" borderId="1" xfId="2" applyFont="1" applyFill="1" applyBorder="1" applyAlignment="1" applyProtection="1">
      <alignment vertical="center"/>
      <protection locked="0"/>
    </xf>
    <xf numFmtId="9" fontId="20" fillId="6" borderId="1" xfId="2" applyFont="1" applyFill="1" applyBorder="1" applyAlignment="1" applyProtection="1">
      <alignment vertical="center"/>
      <protection locked="0"/>
    </xf>
    <xf numFmtId="9" fontId="20" fillId="6" borderId="19" xfId="2" applyFont="1" applyFill="1" applyBorder="1" applyAlignment="1" applyProtection="1">
      <alignment vertical="center"/>
      <protection locked="0"/>
    </xf>
    <xf numFmtId="167" fontId="0" fillId="0" borderId="0" xfId="2" applyNumberFormat="1" applyFont="1"/>
    <xf numFmtId="9" fontId="20" fillId="6" borderId="12" xfId="2" applyFont="1" applyFill="1" applyBorder="1" applyAlignment="1" applyProtection="1">
      <alignment vertical="center"/>
      <protection locked="0"/>
    </xf>
    <xf numFmtId="9" fontId="20" fillId="0" borderId="1" xfId="2" applyFont="1" applyFill="1" applyBorder="1" applyAlignment="1" applyProtection="1">
      <alignment vertical="center"/>
      <protection locked="0"/>
    </xf>
    <xf numFmtId="9" fontId="9" fillId="6" borderId="1" xfId="2" applyFont="1" applyFill="1" applyBorder="1" applyAlignment="1" applyProtection="1">
      <alignment vertical="center"/>
      <protection locked="0"/>
    </xf>
    <xf numFmtId="10" fontId="20" fillId="6" borderId="19" xfId="2" applyNumberFormat="1" applyFont="1" applyFill="1" applyBorder="1" applyAlignment="1" applyProtection="1">
      <alignment vertical="center"/>
      <protection locked="0"/>
    </xf>
    <xf numFmtId="9" fontId="18" fillId="5" borderId="20" xfId="6" applyNumberFormat="1" applyFill="1" applyBorder="1"/>
    <xf numFmtId="9" fontId="18" fillId="5" borderId="21" xfId="6" applyNumberFormat="1" applyFill="1" applyBorder="1"/>
    <xf numFmtId="9" fontId="18" fillId="5" borderId="22" xfId="6" applyNumberFormat="1" applyFill="1" applyBorder="1"/>
    <xf numFmtId="9" fontId="9" fillId="6" borderId="19" xfId="2" applyFont="1" applyFill="1" applyBorder="1" applyAlignment="1" applyProtection="1">
      <alignment vertical="center"/>
      <protection locked="0"/>
    </xf>
    <xf numFmtId="9" fontId="9" fillId="6" borderId="12" xfId="2" applyFont="1" applyFill="1" applyBorder="1" applyAlignment="1" applyProtection="1">
      <alignment vertical="center"/>
      <protection locked="0"/>
    </xf>
    <xf numFmtId="165" fontId="9" fillId="6" borderId="1" xfId="0" applyNumberFormat="1" applyFont="1" applyFill="1" applyBorder="1" applyAlignment="1" applyProtection="1">
      <alignment vertical="center"/>
      <protection locked="0"/>
    </xf>
    <xf numFmtId="0" fontId="15" fillId="0" borderId="12" xfId="0" applyFont="1" applyBorder="1" applyAlignment="1">
      <alignment horizontal="center" vertical="center" wrapText="1"/>
    </xf>
    <xf numFmtId="0" fontId="9" fillId="0" borderId="1" xfId="0" applyFont="1" applyBorder="1" applyAlignment="1">
      <alignment horizontal="left" vertical="center" wrapText="1"/>
    </xf>
    <xf numFmtId="165" fontId="9" fillId="0" borderId="1" xfId="0" applyNumberFormat="1" applyFont="1" applyBorder="1" applyAlignment="1" applyProtection="1">
      <alignment vertical="center"/>
      <protection locked="0"/>
    </xf>
    <xf numFmtId="165" fontId="9" fillId="0" borderId="19" xfId="0" applyNumberFormat="1" applyFont="1" applyBorder="1" applyAlignment="1" applyProtection="1">
      <alignment vertical="center"/>
      <protection locked="0"/>
    </xf>
    <xf numFmtId="165" fontId="9" fillId="6" borderId="12" xfId="0" applyNumberFormat="1" applyFont="1" applyFill="1" applyBorder="1" applyAlignment="1" applyProtection="1">
      <alignment vertical="center"/>
      <protection locked="0"/>
    </xf>
    <xf numFmtId="165" fontId="9" fillId="6" borderId="19" xfId="0" applyNumberFormat="1" applyFont="1" applyFill="1" applyBorder="1" applyAlignment="1" applyProtection="1">
      <alignment vertical="center"/>
      <protection locked="0"/>
    </xf>
    <xf numFmtId="165" fontId="20" fillId="0" borderId="1" xfId="0" applyNumberFormat="1" applyFont="1" applyBorder="1" applyAlignment="1" applyProtection="1">
      <alignment vertical="center"/>
      <protection locked="0"/>
    </xf>
    <xf numFmtId="165" fontId="20" fillId="0" borderId="19" xfId="0" applyNumberFormat="1" applyFont="1" applyBorder="1" applyAlignment="1" applyProtection="1">
      <alignment vertical="center"/>
      <protection locked="0"/>
    </xf>
    <xf numFmtId="165" fontId="20" fillId="6" borderId="12" xfId="0" applyNumberFormat="1" applyFont="1" applyFill="1" applyBorder="1" applyAlignment="1" applyProtection="1">
      <alignment vertical="center"/>
      <protection locked="0"/>
    </xf>
    <xf numFmtId="165" fontId="20" fillId="6" borderId="1" xfId="0" applyNumberFormat="1" applyFont="1" applyFill="1" applyBorder="1" applyAlignment="1" applyProtection="1">
      <alignment vertical="center"/>
      <protection locked="0"/>
    </xf>
    <xf numFmtId="165" fontId="20" fillId="6" borderId="19" xfId="0" applyNumberFormat="1" applyFont="1" applyFill="1" applyBorder="1" applyAlignment="1" applyProtection="1">
      <alignment vertical="center"/>
      <protection locked="0"/>
    </xf>
    <xf numFmtId="0" fontId="9" fillId="6" borderId="24" xfId="0" applyFont="1" applyFill="1" applyBorder="1" applyAlignment="1">
      <alignment horizontal="right" vertical="center"/>
    </xf>
    <xf numFmtId="0" fontId="9" fillId="6" borderId="2" xfId="0" applyFont="1" applyFill="1" applyBorder="1" applyAlignment="1">
      <alignment vertical="center"/>
    </xf>
    <xf numFmtId="167" fontId="9" fillId="0" borderId="1" xfId="2" applyNumberFormat="1" applyFont="1" applyFill="1" applyBorder="1" applyAlignment="1" applyProtection="1">
      <alignment vertical="center"/>
      <protection locked="0"/>
    </xf>
    <xf numFmtId="9" fontId="9" fillId="0" borderId="19" xfId="2" applyFont="1" applyFill="1" applyBorder="1" applyAlignment="1" applyProtection="1">
      <alignment vertical="center"/>
      <protection locked="0"/>
    </xf>
    <xf numFmtId="165" fontId="20" fillId="0" borderId="2" xfId="0" applyNumberFormat="1" applyFont="1" applyBorder="1" applyAlignment="1" applyProtection="1">
      <alignment vertical="center"/>
      <protection locked="0"/>
    </xf>
    <xf numFmtId="165" fontId="20" fillId="0" borderId="25" xfId="0" applyNumberFormat="1" applyFont="1" applyBorder="1" applyAlignment="1" applyProtection="1">
      <alignment vertical="center"/>
      <protection locked="0"/>
    </xf>
    <xf numFmtId="165" fontId="20" fillId="6" borderId="24" xfId="0" applyNumberFormat="1" applyFont="1" applyFill="1" applyBorder="1" applyAlignment="1" applyProtection="1">
      <alignment vertical="center"/>
      <protection locked="0"/>
    </xf>
    <xf numFmtId="165" fontId="20" fillId="6" borderId="2" xfId="0" applyNumberFormat="1" applyFont="1" applyFill="1" applyBorder="1" applyAlignment="1" applyProtection="1">
      <alignment vertical="center"/>
      <protection locked="0"/>
    </xf>
    <xf numFmtId="165" fontId="20" fillId="6" borderId="25" xfId="0" applyNumberFormat="1" applyFont="1" applyFill="1" applyBorder="1" applyAlignment="1" applyProtection="1">
      <alignment vertical="center"/>
      <protection locked="0"/>
    </xf>
    <xf numFmtId="0" fontId="9" fillId="6" borderId="26" xfId="0" applyFont="1" applyFill="1" applyBorder="1" applyAlignment="1">
      <alignment horizontal="right" vertical="center"/>
    </xf>
    <xf numFmtId="165" fontId="9" fillId="6" borderId="27" xfId="0" applyNumberFormat="1" applyFont="1" applyFill="1" applyBorder="1" applyAlignment="1" applyProtection="1">
      <alignment vertical="center"/>
      <protection locked="0"/>
    </xf>
    <xf numFmtId="10" fontId="9" fillId="0" borderId="27" xfId="2" applyNumberFormat="1" applyFont="1" applyFill="1" applyBorder="1" applyAlignment="1" applyProtection="1">
      <alignment vertical="center"/>
      <protection locked="0"/>
    </xf>
    <xf numFmtId="10" fontId="20" fillId="0" borderId="27" xfId="2" applyNumberFormat="1" applyFont="1" applyFill="1" applyBorder="1" applyAlignment="1" applyProtection="1">
      <alignment vertical="center"/>
      <protection locked="0"/>
    </xf>
    <xf numFmtId="9" fontId="20" fillId="0" borderId="27" xfId="2" applyFont="1" applyFill="1" applyBorder="1" applyAlignment="1" applyProtection="1">
      <alignment vertical="center"/>
      <protection locked="0"/>
    </xf>
    <xf numFmtId="9" fontId="20" fillId="0" borderId="28" xfId="2" applyFont="1" applyFill="1" applyBorder="1" applyAlignment="1" applyProtection="1">
      <alignment vertical="center"/>
      <protection locked="0"/>
    </xf>
    <xf numFmtId="9" fontId="20" fillId="6" borderId="26" xfId="2" applyFont="1" applyFill="1" applyBorder="1" applyAlignment="1" applyProtection="1">
      <alignment vertical="center"/>
      <protection locked="0"/>
    </xf>
    <xf numFmtId="9" fontId="20" fillId="6" borderId="27" xfId="2" applyFont="1" applyFill="1" applyBorder="1" applyAlignment="1" applyProtection="1">
      <alignment vertical="center"/>
      <protection locked="0"/>
    </xf>
    <xf numFmtId="9" fontId="20" fillId="6" borderId="28" xfId="2" applyFont="1" applyFill="1" applyBorder="1" applyAlignment="1" applyProtection="1">
      <alignment vertical="center"/>
      <protection locked="0"/>
    </xf>
    <xf numFmtId="0" fontId="9" fillId="0" borderId="0" xfId="0" applyFont="1" applyAlignment="1">
      <alignment horizontal="right"/>
    </xf>
    <xf numFmtId="166" fontId="21" fillId="0" borderId="0" xfId="1" applyNumberFormat="1" applyFont="1"/>
    <xf numFmtId="0" fontId="9" fillId="0" borderId="0" xfId="0" applyFont="1"/>
    <xf numFmtId="0" fontId="4" fillId="0" borderId="0" xfId="0" applyFont="1" applyAlignment="1">
      <alignment wrapText="1"/>
    </xf>
    <xf numFmtId="0" fontId="8" fillId="0" borderId="0" xfId="0" applyFont="1" applyAlignment="1">
      <alignment wrapText="1"/>
    </xf>
    <xf numFmtId="166" fontId="8" fillId="0" borderId="0" xfId="1" applyNumberFormat="1" applyFont="1"/>
    <xf numFmtId="166" fontId="4" fillId="0" borderId="0" xfId="1" applyNumberFormat="1" applyFont="1"/>
    <xf numFmtId="0" fontId="0" fillId="0" borderId="1" xfId="0" applyBorder="1" applyAlignment="1">
      <alignment horizontal="center" vertical="center"/>
    </xf>
    <xf numFmtId="0" fontId="22" fillId="0" borderId="2" xfId="0" applyFont="1" applyBorder="1" applyAlignment="1">
      <alignment horizontal="center" vertical="center"/>
    </xf>
    <xf numFmtId="166" fontId="14" fillId="0" borderId="10" xfId="1" applyNumberFormat="1" applyFont="1" applyBorder="1" applyAlignment="1">
      <alignment horizontal="center" vertical="center"/>
    </xf>
    <xf numFmtId="166" fontId="14" fillId="0" borderId="11" xfId="1" applyNumberFormat="1" applyFont="1" applyBorder="1" applyAlignment="1">
      <alignment horizontal="center" vertical="center"/>
    </xf>
    <xf numFmtId="166" fontId="0" fillId="0" borderId="0" xfId="0" applyNumberFormat="1"/>
    <xf numFmtId="0" fontId="22" fillId="0" borderId="29" xfId="0" applyFont="1" applyBorder="1" applyAlignment="1">
      <alignment horizontal="center" vertical="center"/>
    </xf>
    <xf numFmtId="166" fontId="9" fillId="0" borderId="1" xfId="1" applyNumberFormat="1" applyFont="1" applyBorder="1" applyAlignment="1">
      <alignment horizontal="center" vertical="center" wrapText="1"/>
    </xf>
    <xf numFmtId="0" fontId="3" fillId="0" borderId="1" xfId="0" applyFont="1" applyBorder="1" applyAlignment="1">
      <alignment horizontal="center" vertical="center"/>
    </xf>
    <xf numFmtId="166" fontId="0" fillId="0" borderId="20" xfId="1" applyNumberFormat="1" applyFont="1" applyBorder="1" applyAlignment="1">
      <alignment horizontal="center"/>
    </xf>
    <xf numFmtId="166" fontId="0" fillId="0" borderId="21" xfId="1" applyNumberFormat="1" applyFont="1" applyBorder="1" applyAlignment="1">
      <alignment horizontal="center"/>
    </xf>
    <xf numFmtId="166" fontId="0" fillId="0" borderId="30" xfId="1" applyNumberFormat="1" applyFont="1" applyBorder="1" applyAlignment="1">
      <alignment horizontal="center"/>
    </xf>
    <xf numFmtId="0" fontId="0" fillId="0" borderId="1" xfId="0" applyBorder="1" applyAlignment="1">
      <alignment horizontal="center"/>
    </xf>
    <xf numFmtId="0" fontId="23" fillId="2" borderId="1" xfId="7" applyFont="1" applyFill="1" applyBorder="1" applyAlignment="1">
      <alignment horizontal="left" vertical="center" wrapText="1"/>
    </xf>
    <xf numFmtId="166" fontId="4" fillId="0" borderId="1" xfId="1" applyNumberFormat="1" applyFont="1" applyBorder="1"/>
    <xf numFmtId="166" fontId="4" fillId="7" borderId="1" xfId="1" applyNumberFormat="1" applyFont="1" applyFill="1" applyBorder="1"/>
    <xf numFmtId="0" fontId="24" fillId="0" borderId="1" xfId="7" applyFont="1" applyBorder="1" applyAlignment="1">
      <alignment horizontal="left" vertical="center" wrapText="1" indent="1"/>
    </xf>
    <xf numFmtId="166" fontId="4" fillId="0" borderId="1" xfId="1" applyNumberFormat="1" applyFont="1" applyFill="1" applyBorder="1"/>
    <xf numFmtId="0" fontId="25" fillId="2" borderId="1" xfId="7" applyFont="1" applyFill="1" applyBorder="1" applyAlignment="1">
      <alignment horizontal="left" vertical="center" wrapText="1"/>
    </xf>
    <xf numFmtId="0" fontId="24" fillId="2" borderId="1" xfId="7" applyFont="1" applyFill="1" applyBorder="1" applyAlignment="1">
      <alignment horizontal="left" vertical="center" wrapText="1" indent="1"/>
    </xf>
    <xf numFmtId="0" fontId="23" fillId="0" borderId="31" xfId="0" applyFont="1" applyBorder="1" applyAlignment="1">
      <alignment horizontal="left" vertical="center" wrapText="1"/>
    </xf>
    <xf numFmtId="0" fontId="25" fillId="0" borderId="31" xfId="0" applyFont="1" applyBorder="1" applyAlignment="1">
      <alignment horizontal="left" vertical="center" wrapText="1"/>
    </xf>
    <xf numFmtId="166" fontId="4" fillId="0" borderId="1" xfId="1" applyNumberFormat="1" applyFont="1" applyBorder="1" applyAlignment="1">
      <alignment vertical="center"/>
    </xf>
    <xf numFmtId="166" fontId="4" fillId="7" borderId="1" xfId="1" applyNumberFormat="1" applyFont="1" applyFill="1" applyBorder="1" applyAlignment="1">
      <alignment vertical="center"/>
    </xf>
    <xf numFmtId="0" fontId="26" fillId="2" borderId="31" xfId="0" applyFont="1" applyFill="1" applyBorder="1" applyAlignment="1">
      <alignment horizontal="left" vertical="center" wrapText="1" indent="1"/>
    </xf>
    <xf numFmtId="0" fontId="25" fillId="2" borderId="31" xfId="0" applyFont="1" applyFill="1" applyBorder="1" applyAlignment="1">
      <alignment vertical="top" wrapText="1"/>
    </xf>
    <xf numFmtId="0" fontId="25" fillId="2" borderId="32" xfId="0" applyFont="1" applyFill="1" applyBorder="1" applyAlignment="1">
      <alignment horizontal="left" vertical="center" wrapText="1"/>
    </xf>
    <xf numFmtId="0" fontId="26" fillId="0" borderId="31" xfId="0" applyFont="1" applyBorder="1" applyAlignment="1">
      <alignment horizontal="left" vertical="center" wrapText="1" indent="1"/>
    </xf>
    <xf numFmtId="0" fontId="26" fillId="0" borderId="1" xfId="7" applyFont="1" applyBorder="1" applyAlignment="1">
      <alignment horizontal="left" vertical="center" wrapText="1" indent="1"/>
    </xf>
    <xf numFmtId="0" fontId="25" fillId="0" borderId="1" xfId="7" applyFont="1" applyBorder="1" applyAlignment="1">
      <alignment horizontal="left" vertical="center" wrapText="1"/>
    </xf>
    <xf numFmtId="0" fontId="27" fillId="0" borderId="1" xfId="7" applyFont="1" applyBorder="1" applyAlignment="1">
      <alignment horizontal="center" vertical="center" wrapText="1"/>
    </xf>
    <xf numFmtId="166" fontId="4" fillId="0" borderId="20" xfId="1" applyNumberFormat="1" applyFont="1" applyBorder="1" applyAlignment="1">
      <alignment horizontal="center"/>
    </xf>
    <xf numFmtId="166" fontId="4" fillId="0" borderId="21" xfId="1" applyNumberFormat="1" applyFont="1" applyBorder="1" applyAlignment="1">
      <alignment horizontal="center"/>
    </xf>
    <xf numFmtId="166" fontId="4" fillId="0" borderId="30" xfId="1" applyNumberFormat="1" applyFont="1" applyBorder="1" applyAlignment="1">
      <alignment horizontal="center"/>
    </xf>
    <xf numFmtId="0" fontId="25" fillId="2" borderId="33" xfId="0" applyFont="1" applyFill="1" applyBorder="1" applyAlignment="1">
      <alignment horizontal="left" vertical="center" wrapText="1"/>
    </xf>
    <xf numFmtId="0" fontId="25" fillId="2" borderId="31" xfId="0" applyFont="1" applyFill="1" applyBorder="1" applyAlignment="1">
      <alignment horizontal="left" vertical="center" wrapText="1"/>
    </xf>
    <xf numFmtId="43" fontId="0" fillId="0" borderId="0" xfId="0" applyNumberFormat="1"/>
    <xf numFmtId="0" fontId="24" fillId="2" borderId="31" xfId="0" applyFont="1" applyFill="1" applyBorder="1" applyAlignment="1">
      <alignment horizontal="left" vertical="center" wrapText="1" indent="1"/>
    </xf>
    <xf numFmtId="0" fontId="24" fillId="0" borderId="31" xfId="0" applyFont="1" applyBorder="1" applyAlignment="1">
      <alignment horizontal="left" vertical="center" wrapText="1" indent="1"/>
    </xf>
    <xf numFmtId="0" fontId="24" fillId="0" borderId="32" xfId="0" applyFont="1" applyBorder="1" applyAlignment="1">
      <alignment horizontal="left" vertical="center" wrapText="1" indent="1"/>
    </xf>
    <xf numFmtId="0" fontId="28" fillId="0" borderId="1" xfId="0" applyFont="1" applyBorder="1" applyAlignment="1">
      <alignment horizontal="left"/>
    </xf>
    <xf numFmtId="0" fontId="25" fillId="0" borderId="1" xfId="0" applyFont="1" applyBorder="1" applyAlignment="1">
      <alignment horizontal="left" vertical="center" wrapText="1"/>
    </xf>
    <xf numFmtId="0" fontId="0" fillId="0" borderId="0" xfId="0" applyAlignment="1">
      <alignment horizontal="center"/>
    </xf>
    <xf numFmtId="0" fontId="0" fillId="0" borderId="0" xfId="0" applyAlignment="1">
      <alignment horizontal="left" vertical="center"/>
    </xf>
    <xf numFmtId="0" fontId="0" fillId="0" borderId="34" xfId="0" applyBorder="1" applyAlignment="1">
      <alignment horizontal="center" vertical="center"/>
    </xf>
    <xf numFmtId="0" fontId="22" fillId="0" borderId="2" xfId="0" applyFont="1" applyBorder="1" applyAlignment="1">
      <alignment horizontal="center"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0" fillId="0" borderId="35" xfId="0" applyBorder="1" applyAlignment="1">
      <alignment horizontal="center" vertical="center"/>
    </xf>
    <xf numFmtId="0" fontId="22" fillId="0" borderId="29"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xf>
    <xf numFmtId="0" fontId="25" fillId="0" borderId="36" xfId="0" applyFont="1" applyBorder="1" applyAlignment="1">
      <alignment horizontal="justify" vertical="center" wrapText="1"/>
    </xf>
    <xf numFmtId="43" fontId="0" fillId="0" borderId="1" xfId="1" applyFont="1" applyBorder="1"/>
    <xf numFmtId="43" fontId="0" fillId="7" borderId="1" xfId="1" applyFont="1" applyFill="1" applyBorder="1"/>
    <xf numFmtId="0" fontId="24" fillId="0" borderId="33" xfId="0" applyFont="1" applyBorder="1" applyAlignment="1">
      <alignment horizontal="left" vertical="center" wrapText="1" indent="1"/>
    </xf>
    <xf numFmtId="0" fontId="25" fillId="0" borderId="31" xfId="0" applyFont="1" applyBorder="1" applyAlignment="1">
      <alignment horizontal="justify" vertical="center" wrapText="1"/>
    </xf>
    <xf numFmtId="0" fontId="25" fillId="0" borderId="31" xfId="0" applyFont="1" applyBorder="1" applyAlignment="1">
      <alignment vertical="top" wrapText="1"/>
    </xf>
    <xf numFmtId="0" fontId="23" fillId="0" borderId="31" xfId="0" applyFont="1" applyBorder="1" applyAlignment="1">
      <alignment horizontal="justify" vertical="center" wrapText="1"/>
    </xf>
    <xf numFmtId="0" fontId="25" fillId="2" borderId="31" xfId="0" applyFont="1" applyFill="1" applyBorder="1" applyAlignment="1">
      <alignment horizontal="justify" vertical="center" wrapText="1"/>
    </xf>
    <xf numFmtId="166" fontId="0" fillId="0" borderId="1" xfId="1" applyNumberFormat="1" applyFont="1" applyFill="1" applyBorder="1"/>
    <xf numFmtId="166" fontId="0" fillId="0" borderId="1" xfId="1" applyNumberFormat="1" applyFont="1" applyBorder="1"/>
    <xf numFmtId="0" fontId="25" fillId="0" borderId="32" xfId="0" applyFont="1" applyBorder="1" applyAlignment="1">
      <alignment horizontal="justify" vertical="center" wrapText="1"/>
    </xf>
    <xf numFmtId="0" fontId="25" fillId="0" borderId="33" xfId="0" applyFont="1" applyBorder="1" applyAlignment="1">
      <alignment horizontal="justify" vertical="center" wrapText="1"/>
    </xf>
    <xf numFmtId="166" fontId="0" fillId="7" borderId="1" xfId="1" applyNumberFormat="1" applyFont="1" applyFill="1" applyBorder="1"/>
    <xf numFmtId="0" fontId="25" fillId="0" borderId="1" xfId="7" applyFont="1" applyBorder="1" applyAlignment="1">
      <alignment horizontal="justify" vertical="center" wrapText="1"/>
    </xf>
    <xf numFmtId="0" fontId="26" fillId="0" borderId="37" xfId="0" applyFont="1" applyBorder="1" applyAlignment="1">
      <alignment horizontal="left" vertical="center" wrapText="1" indent="1"/>
    </xf>
    <xf numFmtId="0" fontId="23" fillId="0" borderId="31" xfId="0" applyFont="1" applyBorder="1" applyAlignment="1">
      <alignment vertical="center" wrapText="1"/>
    </xf>
    <xf numFmtId="168" fontId="0" fillId="0" borderId="1" xfId="1" applyNumberFormat="1" applyFont="1" applyBorder="1"/>
    <xf numFmtId="168" fontId="0" fillId="0" borderId="1" xfId="1" applyNumberFormat="1" applyFont="1" applyFill="1" applyBorder="1"/>
    <xf numFmtId="0" fontId="25" fillId="0" borderId="31" xfId="0" applyFont="1" applyBorder="1" applyAlignment="1">
      <alignment vertical="center" wrapText="1"/>
    </xf>
    <xf numFmtId="0" fontId="25" fillId="0" borderId="1" xfId="7" applyFont="1" applyBorder="1" applyAlignment="1">
      <alignment vertical="center" wrapText="1"/>
    </xf>
    <xf numFmtId="0" fontId="0" fillId="0" borderId="1" xfId="0" applyBorder="1" applyAlignment="1">
      <alignment horizontal="center" vertical="center" wrapText="1"/>
    </xf>
    <xf numFmtId="0" fontId="14" fillId="0" borderId="10" xfId="0" applyFont="1" applyBorder="1" applyAlignment="1">
      <alignment horizontal="center"/>
    </xf>
    <xf numFmtId="0" fontId="14" fillId="0" borderId="11" xfId="0" applyFont="1" applyBorder="1" applyAlignment="1">
      <alignment horizontal="center"/>
    </xf>
    <xf numFmtId="0" fontId="9" fillId="0" borderId="19" xfId="0" applyFont="1" applyBorder="1" applyAlignment="1">
      <alignment horizontal="center" vertical="center" wrapText="1"/>
    </xf>
    <xf numFmtId="0" fontId="15" fillId="0" borderId="1" xfId="0" applyFont="1" applyBorder="1" applyAlignment="1">
      <alignment vertical="center" wrapText="1"/>
    </xf>
    <xf numFmtId="165" fontId="9" fillId="0" borderId="1" xfId="0" applyNumberFormat="1" applyFont="1" applyBorder="1" applyAlignment="1">
      <alignment horizontal="right"/>
    </xf>
    <xf numFmtId="165" fontId="9" fillId="7" borderId="1" xfId="0" applyNumberFormat="1" applyFont="1" applyFill="1" applyBorder="1" applyAlignment="1">
      <alignment horizontal="right"/>
    </xf>
    <xf numFmtId="165" fontId="9" fillId="7" borderId="19" xfId="0" applyNumberFormat="1" applyFont="1" applyFill="1" applyBorder="1" applyAlignment="1">
      <alignment horizontal="right"/>
    </xf>
    <xf numFmtId="0" fontId="8" fillId="0" borderId="1" xfId="0" applyFont="1" applyBorder="1" applyAlignment="1">
      <alignment horizontal="left" vertical="center" wrapText="1" indent="1"/>
    </xf>
    <xf numFmtId="0" fontId="3" fillId="0" borderId="1" xfId="0" applyFont="1" applyBorder="1" applyAlignment="1">
      <alignment vertical="center"/>
    </xf>
    <xf numFmtId="0" fontId="30" fillId="0" borderId="1" xfId="0" applyFont="1" applyBorder="1" applyAlignment="1" applyProtection="1">
      <alignment horizontal="left" vertical="center" indent="1"/>
      <protection locked="0"/>
    </xf>
    <xf numFmtId="0" fontId="31" fillId="0" borderId="1" xfId="0" applyFont="1" applyBorder="1" applyAlignment="1" applyProtection="1">
      <alignment horizontal="left" vertical="center" indent="3"/>
      <protection locked="0"/>
    </xf>
    <xf numFmtId="0" fontId="32" fillId="0" borderId="1" xfId="0" applyFont="1" applyBorder="1" applyAlignment="1" applyProtection="1">
      <alignment horizontal="left" vertical="center" indent="3"/>
      <protection locked="0"/>
    </xf>
    <xf numFmtId="0" fontId="32" fillId="0" borderId="1" xfId="0" applyFont="1" applyBorder="1" applyAlignment="1" applyProtection="1">
      <alignment vertical="top" wrapText="1"/>
      <protection locked="0"/>
    </xf>
    <xf numFmtId="0" fontId="3" fillId="0" borderId="1" xfId="0" applyFont="1" applyBorder="1"/>
    <xf numFmtId="165" fontId="9" fillId="0" borderId="0" xfId="0" applyNumberFormat="1" applyFont="1" applyAlignment="1">
      <alignment horizontal="right"/>
    </xf>
    <xf numFmtId="0" fontId="33" fillId="0" borderId="0" xfId="0" applyFont="1"/>
    <xf numFmtId="0" fontId="4" fillId="0" borderId="5" xfId="0" applyFont="1" applyBorder="1"/>
    <xf numFmtId="0" fontId="34" fillId="0" borderId="5" xfId="0" applyFont="1" applyBorder="1" applyAlignment="1">
      <alignment horizontal="center"/>
    </xf>
    <xf numFmtId="0" fontId="35" fillId="0" borderId="5" xfId="0" applyFont="1" applyBorder="1" applyAlignment="1">
      <alignment horizontal="center"/>
    </xf>
    <xf numFmtId="0" fontId="4" fillId="0" borderId="38" xfId="0" applyFont="1" applyBorder="1" applyAlignment="1">
      <alignment vertical="center" wrapText="1"/>
    </xf>
    <xf numFmtId="0" fontId="34" fillId="0" borderId="29" xfId="0" applyFont="1" applyBorder="1" applyAlignment="1">
      <alignment vertical="center" wrapText="1"/>
    </xf>
    <xf numFmtId="0" fontId="5" fillId="0" borderId="10" xfId="0" applyFont="1" applyBorder="1" applyAlignment="1">
      <alignment horizontal="center" vertical="center" wrapText="1"/>
    </xf>
    <xf numFmtId="0" fontId="36" fillId="0" borderId="12" xfId="0" applyFont="1" applyBorder="1" applyAlignment="1">
      <alignment horizontal="center" vertical="center" wrapText="1"/>
    </xf>
    <xf numFmtId="0" fontId="4" fillId="0" borderId="1" xfId="0" applyFont="1" applyBorder="1" applyAlignment="1">
      <alignment vertical="center" wrapText="1"/>
    </xf>
    <xf numFmtId="3" fontId="37" fillId="7" borderId="1" xfId="0" applyNumberFormat="1" applyFont="1" applyFill="1" applyBorder="1" applyAlignment="1">
      <alignment vertical="center" wrapText="1"/>
    </xf>
    <xf numFmtId="3" fontId="37" fillId="7" borderId="22" xfId="0" applyNumberFormat="1" applyFont="1" applyFill="1" applyBorder="1" applyAlignment="1">
      <alignment vertical="center" wrapText="1"/>
    </xf>
    <xf numFmtId="166" fontId="38" fillId="8" borderId="0" xfId="1" applyNumberFormat="1" applyFont="1" applyFill="1"/>
    <xf numFmtId="14" fontId="8" fillId="2" borderId="1" xfId="8" quotePrefix="1" applyNumberFormat="1" applyFont="1" applyFill="1" applyBorder="1" applyAlignment="1" applyProtection="1">
      <alignment horizontal="left" vertical="center" wrapText="1" indent="2"/>
      <protection locked="0"/>
    </xf>
    <xf numFmtId="3" fontId="37" fillId="0" borderId="1" xfId="0" applyNumberFormat="1" applyFont="1" applyBorder="1" applyAlignment="1">
      <alignment vertical="center" wrapText="1"/>
    </xf>
    <xf numFmtId="3" fontId="37" fillId="0" borderId="20" xfId="0" applyNumberFormat="1" applyFont="1" applyBorder="1" applyAlignment="1">
      <alignment vertical="center" wrapText="1"/>
    </xf>
    <xf numFmtId="3" fontId="37" fillId="0" borderId="22" xfId="0" applyNumberFormat="1" applyFont="1" applyBorder="1" applyAlignment="1">
      <alignment vertical="center" wrapText="1"/>
    </xf>
    <xf numFmtId="14" fontId="8" fillId="2" borderId="1" xfId="8" quotePrefix="1" applyNumberFormat="1" applyFont="1" applyFill="1" applyBorder="1" applyAlignment="1" applyProtection="1">
      <alignment horizontal="left" vertical="center" wrapText="1" indent="3"/>
      <protection locked="0"/>
    </xf>
    <xf numFmtId="0" fontId="4" fillId="0" borderId="1" xfId="0" applyFont="1" applyBorder="1" applyAlignment="1">
      <alignment horizontal="left" vertical="center" wrapText="1" indent="2"/>
    </xf>
    <xf numFmtId="0" fontId="36" fillId="0" borderId="26" xfId="0" applyFont="1" applyBorder="1" applyAlignment="1">
      <alignment horizontal="center" vertical="center" wrapText="1"/>
    </xf>
    <xf numFmtId="0" fontId="34" fillId="0" borderId="27" xfId="0" applyFont="1" applyBorder="1" applyAlignment="1">
      <alignment vertical="center" wrapText="1"/>
    </xf>
    <xf numFmtId="3" fontId="37" fillId="7" borderId="27" xfId="0" applyNumberFormat="1" applyFont="1" applyFill="1" applyBorder="1" applyAlignment="1">
      <alignment vertical="center" wrapText="1"/>
    </xf>
    <xf numFmtId="3" fontId="37" fillId="7" borderId="39" xfId="0" applyNumberFormat="1" applyFont="1" applyFill="1" applyBorder="1" applyAlignment="1">
      <alignment vertical="center" wrapText="1"/>
    </xf>
    <xf numFmtId="3" fontId="4" fillId="0" borderId="0" xfId="0" applyNumberFormat="1" applyFont="1"/>
    <xf numFmtId="0" fontId="4" fillId="0" borderId="0" xfId="0" applyFont="1" applyAlignment="1">
      <alignment vertical="top" wrapText="1"/>
    </xf>
    <xf numFmtId="0" fontId="9" fillId="0" borderId="0" xfId="0" applyFont="1" applyAlignment="1">
      <alignment horizontal="left" wrapText="1"/>
    </xf>
    <xf numFmtId="0" fontId="14" fillId="0" borderId="5" xfId="0" applyFont="1" applyBorder="1" applyAlignment="1">
      <alignment horizontal="center" wrapText="1"/>
    </xf>
    <xf numFmtId="0" fontId="9" fillId="0" borderId="9" xfId="0" applyFont="1" applyBorder="1"/>
    <xf numFmtId="0" fontId="14" fillId="0" borderId="40" xfId="0" applyFont="1" applyBorder="1" applyAlignment="1">
      <alignment horizontal="center" wrapText="1"/>
    </xf>
    <xf numFmtId="0" fontId="14" fillId="0" borderId="11" xfId="0" applyFont="1" applyBorder="1" applyAlignment="1">
      <alignment horizontal="center"/>
    </xf>
    <xf numFmtId="0" fontId="9" fillId="0" borderId="12" xfId="0" applyFont="1" applyBorder="1" applyAlignment="1">
      <alignment vertical="center"/>
    </xf>
    <xf numFmtId="0" fontId="40" fillId="0" borderId="20" xfId="0" applyFont="1" applyBorder="1" applyAlignment="1">
      <alignment wrapText="1"/>
    </xf>
    <xf numFmtId="0" fontId="4" fillId="0" borderId="19" xfId="0" applyFont="1" applyBorder="1"/>
    <xf numFmtId="0" fontId="40" fillId="0" borderId="1" xfId="0" applyFont="1" applyBorder="1" applyAlignment="1">
      <alignment wrapText="1"/>
    </xf>
    <xf numFmtId="0" fontId="4" fillId="0" borderId="19" xfId="0" applyFont="1" applyBorder="1"/>
    <xf numFmtId="0" fontId="14" fillId="0" borderId="20" xfId="0" applyFont="1" applyBorder="1" applyAlignment="1">
      <alignment horizontal="center" vertical="center" wrapText="1"/>
    </xf>
    <xf numFmtId="0" fontId="14" fillId="0" borderId="19" xfId="0" applyFont="1" applyBorder="1" applyAlignment="1">
      <alignment horizontal="center" vertical="center" wrapText="1"/>
    </xf>
    <xf numFmtId="0" fontId="9" fillId="0" borderId="20" xfId="0" applyFont="1" applyBorder="1" applyAlignment="1">
      <alignment wrapText="1"/>
    </xf>
    <xf numFmtId="0" fontId="9" fillId="0" borderId="19" xfId="0" applyFont="1" applyBorder="1" applyAlignment="1">
      <alignment wrapText="1"/>
    </xf>
    <xf numFmtId="0" fontId="9" fillId="0" borderId="20" xfId="0" applyFont="1" applyBorder="1" applyAlignment="1">
      <alignment vertical="top" wrapText="1"/>
    </xf>
    <xf numFmtId="0" fontId="9" fillId="0" borderId="22" xfId="0" applyFont="1" applyBorder="1" applyAlignment="1">
      <alignment wrapText="1"/>
    </xf>
    <xf numFmtId="0" fontId="14" fillId="0" borderId="20" xfId="0" applyFont="1" applyBorder="1" applyAlignment="1">
      <alignment horizontal="center" vertical="center" wrapText="1"/>
    </xf>
    <xf numFmtId="0" fontId="14" fillId="0" borderId="22" xfId="0" applyFont="1" applyBorder="1" applyAlignment="1">
      <alignment horizontal="center" vertical="center" wrapText="1"/>
    </xf>
    <xf numFmtId="0" fontId="0" fillId="0" borderId="0" xfId="0" applyAlignment="1">
      <alignment wrapText="1"/>
    </xf>
    <xf numFmtId="10" fontId="4" fillId="0" borderId="22" xfId="2" applyNumberFormat="1" applyFont="1" applyBorder="1" applyAlignment="1">
      <alignment horizontal="center"/>
    </xf>
    <xf numFmtId="0" fontId="4" fillId="0" borderId="22" xfId="0" applyFont="1" applyBorder="1"/>
    <xf numFmtId="166" fontId="0" fillId="0" borderId="0" xfId="1" applyNumberFormat="1" applyFont="1" applyFill="1"/>
    <xf numFmtId="10" fontId="4" fillId="0" borderId="19" xfId="2" applyNumberFormat="1" applyFont="1" applyBorder="1"/>
    <xf numFmtId="0" fontId="9" fillId="0" borderId="24" xfId="0" applyFont="1" applyBorder="1" applyAlignment="1">
      <alignment vertical="center"/>
    </xf>
    <xf numFmtId="0" fontId="40" fillId="0" borderId="3" xfId="0" applyFont="1" applyBorder="1" applyAlignment="1">
      <alignment wrapText="1"/>
    </xf>
    <xf numFmtId="10" fontId="4" fillId="0" borderId="25" xfId="2" applyNumberFormat="1" applyFont="1" applyBorder="1"/>
    <xf numFmtId="10" fontId="4" fillId="0" borderId="25" xfId="2" applyNumberFormat="1" applyFont="1" applyFill="1" applyBorder="1"/>
    <xf numFmtId="0" fontId="9" fillId="0" borderId="24" xfId="0" applyFont="1" applyBorder="1" applyAlignment="1">
      <alignment horizontal="right" vertical="center"/>
    </xf>
    <xf numFmtId="0" fontId="9" fillId="0" borderId="26" xfId="0" applyFont="1" applyBorder="1"/>
    <xf numFmtId="0" fontId="40" fillId="0" borderId="41" xfId="0" applyFont="1" applyBorder="1" applyAlignment="1">
      <alignment wrapText="1"/>
    </xf>
    <xf numFmtId="0" fontId="4" fillId="0" borderId="28" xfId="0" applyFont="1" applyBorder="1"/>
    <xf numFmtId="0" fontId="2" fillId="0" borderId="0" xfId="0" applyFont="1"/>
    <xf numFmtId="0" fontId="41" fillId="0" borderId="0" xfId="5" applyFont="1"/>
    <xf numFmtId="0" fontId="9" fillId="0" borderId="5" xfId="5" applyFont="1" applyBorder="1"/>
    <xf numFmtId="0" fontId="15" fillId="0" borderId="5" xfId="5" applyFont="1" applyBorder="1" applyAlignment="1">
      <alignment horizontal="left" vertical="center"/>
    </xf>
    <xf numFmtId="0" fontId="9" fillId="0" borderId="0" xfId="5" applyFont="1" applyAlignment="1">
      <alignment horizontal="left"/>
    </xf>
    <xf numFmtId="0" fontId="35" fillId="0" borderId="0" xfId="5" applyFont="1" applyAlignment="1">
      <alignment horizontal="right"/>
    </xf>
    <xf numFmtId="0" fontId="8" fillId="0" borderId="9" xfId="5" applyFont="1" applyBorder="1" applyAlignment="1">
      <alignment vertical="center"/>
    </xf>
    <xf numFmtId="0" fontId="8" fillId="0" borderId="10" xfId="5" applyFont="1" applyBorder="1" applyAlignment="1">
      <alignment vertical="center"/>
    </xf>
    <xf numFmtId="0" fontId="15" fillId="0" borderId="10" xfId="5" applyFont="1" applyBorder="1" applyAlignment="1">
      <alignment horizontal="center" vertical="center"/>
    </xf>
    <xf numFmtId="0" fontId="15" fillId="0" borderId="11" xfId="5" applyFont="1" applyBorder="1" applyAlignment="1">
      <alignment horizontal="center" vertical="center"/>
    </xf>
    <xf numFmtId="0" fontId="21" fillId="0" borderId="0" xfId="5" applyFont="1" applyAlignment="1">
      <alignment vertical="center"/>
    </xf>
    <xf numFmtId="0" fontId="8" fillId="0" borderId="0" xfId="5" applyFont="1" applyAlignment="1">
      <alignment vertical="center"/>
    </xf>
    <xf numFmtId="0" fontId="0" fillId="0" borderId="12" xfId="0" applyBorder="1"/>
    <xf numFmtId="0" fontId="4" fillId="0" borderId="1" xfId="0" applyFont="1" applyBorder="1" applyAlignment="1">
      <alignment horizontal="center" vertical="center" wrapText="1"/>
    </xf>
    <xf numFmtId="0" fontId="4" fillId="0" borderId="20" xfId="0" applyFont="1" applyBorder="1" applyAlignment="1">
      <alignment horizontal="center"/>
    </xf>
    <xf numFmtId="0" fontId="4" fillId="0" borderId="22" xfId="0" applyFont="1" applyBorder="1" applyAlignment="1">
      <alignment horizontal="center"/>
    </xf>
    <xf numFmtId="0" fontId="4" fillId="0" borderId="29" xfId="0" applyFont="1" applyBorder="1" applyAlignment="1">
      <alignment horizontal="center" vertical="center" wrapText="1"/>
    </xf>
    <xf numFmtId="0" fontId="4" fillId="0" borderId="42" xfId="0" applyFont="1" applyBorder="1" applyAlignment="1">
      <alignment horizontal="center" vertical="center" wrapText="1"/>
    </xf>
    <xf numFmtId="43" fontId="4" fillId="0" borderId="1" xfId="1" applyFont="1" applyFill="1" applyBorder="1" applyAlignment="1">
      <alignment vertical="center" wrapText="1"/>
    </xf>
    <xf numFmtId="43" fontId="2" fillId="0" borderId="0" xfId="0" applyNumberFormat="1" applyFont="1"/>
    <xf numFmtId="43" fontId="4" fillId="0" borderId="1" xfId="1" applyFont="1" applyBorder="1" applyAlignment="1">
      <alignment vertical="center"/>
    </xf>
    <xf numFmtId="0" fontId="26" fillId="2" borderId="31" xfId="0" applyFont="1" applyFill="1" applyBorder="1" applyAlignment="1">
      <alignment vertical="top" wrapText="1"/>
    </xf>
    <xf numFmtId="0" fontId="0" fillId="0" borderId="26" xfId="0" applyBorder="1"/>
    <xf numFmtId="0" fontId="34" fillId="7" borderId="43" xfId="0" applyFont="1" applyFill="1" applyBorder="1" applyAlignment="1">
      <alignment vertical="center" wrapText="1"/>
    </xf>
    <xf numFmtId="169" fontId="34" fillId="7" borderId="27" xfId="0" applyNumberFormat="1" applyFont="1" applyFill="1" applyBorder="1" applyAlignment="1">
      <alignment horizontal="center" vertical="center"/>
    </xf>
    <xf numFmtId="0" fontId="7" fillId="0" borderId="0" xfId="0" applyFont="1" applyAlignment="1">
      <alignment vertical="center"/>
    </xf>
    <xf numFmtId="0" fontId="4" fillId="0" borderId="0" xfId="0" applyFont="1" applyAlignment="1">
      <alignment vertical="center"/>
    </xf>
    <xf numFmtId="0" fontId="15" fillId="0" borderId="0" xfId="5" applyFont="1" applyAlignment="1">
      <alignment horizontal="center" vertical="center" wrapText="1"/>
    </xf>
    <xf numFmtId="0" fontId="0" fillId="0" borderId="9" xfId="0" applyBorder="1" applyAlignment="1">
      <alignment horizontal="center" vertical="center"/>
    </xf>
    <xf numFmtId="0" fontId="34" fillId="7" borderId="44" xfId="0" applyFont="1" applyFill="1" applyBorder="1" applyAlignment="1">
      <alignment wrapText="1"/>
    </xf>
    <xf numFmtId="165" fontId="0" fillId="7" borderId="11" xfId="0" applyNumberFormat="1" applyFill="1" applyBorder="1" applyAlignment="1">
      <alignment horizontal="center" vertical="center"/>
    </xf>
    <xf numFmtId="166" fontId="2" fillId="0" borderId="0" xfId="1" applyNumberFormat="1" applyFont="1"/>
    <xf numFmtId="0" fontId="4" fillId="0" borderId="12" xfId="0" applyFont="1" applyBorder="1" applyAlignment="1">
      <alignment horizontal="center" vertical="center"/>
    </xf>
    <xf numFmtId="0" fontId="4" fillId="0" borderId="21" xfId="0" applyFont="1" applyBorder="1"/>
    <xf numFmtId="165" fontId="0" fillId="0" borderId="19" xfId="0" applyNumberFormat="1" applyBorder="1"/>
    <xf numFmtId="0" fontId="4" fillId="0" borderId="12" xfId="0" applyFont="1" applyBorder="1" applyAlignment="1">
      <alignment horizontal="center" vertical="center" wrapText="1"/>
    </xf>
    <xf numFmtId="0" fontId="4" fillId="0" borderId="21" xfId="0" applyFont="1" applyBorder="1" applyAlignment="1">
      <alignment vertical="center" wrapText="1"/>
    </xf>
    <xf numFmtId="165" fontId="0" fillId="0" borderId="19" xfId="0" applyNumberFormat="1" applyBorder="1" applyAlignment="1">
      <alignment wrapText="1"/>
    </xf>
    <xf numFmtId="0" fontId="34" fillId="7" borderId="21" xfId="0" applyFont="1" applyFill="1" applyBorder="1" applyAlignment="1">
      <alignment wrapText="1"/>
    </xf>
    <xf numFmtId="165" fontId="0" fillId="7" borderId="19" xfId="0" applyNumberFormat="1" applyFill="1" applyBorder="1" applyAlignment="1">
      <alignment horizontal="center" vertical="center" wrapText="1"/>
    </xf>
    <xf numFmtId="0" fontId="4" fillId="0" borderId="21" xfId="0" applyFont="1" applyBorder="1" applyAlignment="1">
      <alignment vertical="center"/>
    </xf>
    <xf numFmtId="0" fontId="4" fillId="0" borderId="21" xfId="0" applyFont="1" applyBorder="1" applyAlignment="1">
      <alignment wrapText="1"/>
    </xf>
    <xf numFmtId="0" fontId="4" fillId="0" borderId="26" xfId="0" applyFont="1" applyBorder="1" applyAlignment="1">
      <alignment horizontal="center" vertical="center" wrapText="1"/>
    </xf>
    <xf numFmtId="0" fontId="34" fillId="7" borderId="45" xfId="0" applyFont="1" applyFill="1" applyBorder="1" applyAlignment="1">
      <alignment wrapText="1"/>
    </xf>
    <xf numFmtId="165" fontId="0" fillId="7" borderId="28" xfId="0" applyNumberFormat="1" applyFill="1" applyBorder="1" applyAlignment="1">
      <alignment horizontal="center" vertical="center" wrapText="1"/>
    </xf>
    <xf numFmtId="3" fontId="0" fillId="0" borderId="0" xfId="0" applyNumberFormat="1"/>
    <xf numFmtId="0" fontId="4" fillId="0" borderId="0" xfId="0" applyFont="1" applyAlignment="1">
      <alignment horizontal="center" vertical="center"/>
    </xf>
    <xf numFmtId="0" fontId="7" fillId="0" borderId="0" xfId="0" applyFont="1" applyAlignment="1">
      <alignment horizontal="center" vertical="center"/>
    </xf>
    <xf numFmtId="0" fontId="21" fillId="0" borderId="0" xfId="0" applyFont="1"/>
    <xf numFmtId="0" fontId="34" fillId="0" borderId="0" xfId="0" applyFont="1" applyAlignment="1">
      <alignment horizontal="center"/>
    </xf>
    <xf numFmtId="0" fontId="8" fillId="0" borderId="9" xfId="9" applyFont="1" applyBorder="1" applyAlignment="1" applyProtection="1">
      <alignment horizontal="center" vertical="center"/>
      <protection locked="0"/>
    </xf>
    <xf numFmtId="0" fontId="15" fillId="2" borderId="46" xfId="9" applyFont="1" applyFill="1" applyBorder="1" applyAlignment="1" applyProtection="1">
      <alignment horizontal="center" vertical="center" wrapText="1"/>
      <protection locked="0"/>
    </xf>
    <xf numFmtId="166" fontId="8" fillId="2" borderId="11" xfId="10" applyNumberFormat="1" applyFont="1" applyFill="1" applyBorder="1" applyAlignment="1" applyProtection="1">
      <alignment horizontal="center" vertical="center"/>
      <protection locked="0"/>
    </xf>
    <xf numFmtId="0" fontId="8" fillId="0" borderId="12" xfId="9" applyFont="1" applyBorder="1" applyAlignment="1" applyProtection="1">
      <alignment horizontal="center" vertical="center"/>
      <protection locked="0"/>
    </xf>
    <xf numFmtId="0" fontId="34" fillId="7" borderId="1" xfId="0" applyFont="1" applyFill="1" applyBorder="1" applyAlignment="1">
      <alignment horizontal="left" vertical="top" wrapText="1"/>
    </xf>
    <xf numFmtId="165" fontId="8" fillId="7" borderId="19" xfId="10" applyNumberFormat="1" applyFont="1" applyFill="1" applyBorder="1" applyAlignment="1" applyProtection="1">
      <alignment vertical="top"/>
    </xf>
    <xf numFmtId="0" fontId="8" fillId="2" borderId="29" xfId="11" applyFont="1" applyFill="1" applyBorder="1" applyAlignment="1" applyProtection="1">
      <alignment vertical="center" wrapText="1"/>
      <protection locked="0"/>
    </xf>
    <xf numFmtId="165" fontId="8" fillId="2" borderId="19" xfId="10" applyNumberFormat="1" applyFont="1" applyFill="1" applyBorder="1" applyAlignment="1" applyProtection="1">
      <alignment vertical="top"/>
      <protection locked="0"/>
    </xf>
    <xf numFmtId="0" fontId="8" fillId="2" borderId="1" xfId="11" applyFont="1" applyFill="1" applyBorder="1" applyAlignment="1" applyProtection="1">
      <alignment vertical="center" wrapText="1"/>
      <protection locked="0"/>
    </xf>
    <xf numFmtId="0" fontId="8" fillId="2" borderId="2" xfId="11" applyFont="1" applyFill="1" applyBorder="1" applyAlignment="1" applyProtection="1">
      <alignment vertical="center" wrapText="1"/>
      <protection locked="0"/>
    </xf>
    <xf numFmtId="165" fontId="8" fillId="7" borderId="19" xfId="10" applyNumberFormat="1" applyFont="1" applyFill="1" applyBorder="1" applyAlignment="1" applyProtection="1">
      <alignment vertical="top" wrapText="1"/>
    </xf>
    <xf numFmtId="0" fontId="8" fillId="2" borderId="29" xfId="11" applyFont="1" applyFill="1" applyBorder="1" applyAlignment="1" applyProtection="1">
      <alignment horizontal="left" vertical="center" wrapText="1"/>
      <protection locked="0"/>
    </xf>
    <xf numFmtId="165" fontId="8" fillId="2" borderId="19" xfId="10" applyNumberFormat="1" applyFont="1" applyFill="1" applyBorder="1" applyAlignment="1" applyProtection="1">
      <alignment vertical="top" wrapText="1"/>
      <protection locked="0"/>
    </xf>
    <xf numFmtId="0" fontId="8" fillId="2" borderId="1" xfId="11" applyFont="1" applyFill="1" applyBorder="1" applyAlignment="1" applyProtection="1">
      <alignment horizontal="left" vertical="center" wrapText="1"/>
      <protection locked="0"/>
    </xf>
    <xf numFmtId="0" fontId="8" fillId="2" borderId="1" xfId="9" applyFont="1" applyFill="1" applyBorder="1" applyAlignment="1" applyProtection="1">
      <alignment horizontal="left" vertical="center" wrapText="1"/>
      <protection locked="0"/>
    </xf>
    <xf numFmtId="0" fontId="8" fillId="0" borderId="1" xfId="11" applyFont="1" applyBorder="1" applyAlignment="1" applyProtection="1">
      <alignment horizontal="left" vertical="center" wrapText="1"/>
      <protection locked="0"/>
    </xf>
    <xf numFmtId="0" fontId="8" fillId="0" borderId="0" xfId="11" applyFont="1" applyAlignment="1" applyProtection="1">
      <alignment vertical="top" wrapText="1"/>
      <protection locked="0"/>
    </xf>
    <xf numFmtId="0" fontId="8" fillId="0" borderId="1" xfId="11" applyFont="1" applyBorder="1" applyAlignment="1" applyProtection="1">
      <alignment wrapText="1"/>
      <protection locked="0"/>
    </xf>
    <xf numFmtId="1" fontId="15" fillId="7" borderId="1" xfId="10" applyNumberFormat="1" applyFont="1" applyFill="1" applyBorder="1" applyAlignment="1" applyProtection="1">
      <alignment horizontal="left" vertical="top" wrapText="1"/>
    </xf>
    <xf numFmtId="166" fontId="0" fillId="0" borderId="0" xfId="1" applyNumberFormat="1" applyFont="1" applyAlignment="1">
      <alignment wrapText="1"/>
    </xf>
    <xf numFmtId="0" fontId="8" fillId="0" borderId="12" xfId="9" applyFont="1" applyBorder="1" applyAlignment="1" applyProtection="1">
      <alignment horizontal="center" vertical="center" wrapText="1"/>
      <protection locked="0"/>
    </xf>
    <xf numFmtId="0" fontId="15" fillId="2" borderId="1" xfId="11" applyFont="1" applyFill="1" applyBorder="1" applyAlignment="1" applyProtection="1">
      <alignment vertical="center" wrapText="1"/>
      <protection locked="0"/>
    </xf>
    <xf numFmtId="165" fontId="8" fillId="7" borderId="19" xfId="10" applyNumberFormat="1" applyFont="1" applyFill="1" applyBorder="1" applyAlignment="1" applyProtection="1">
      <alignment vertical="top" wrapText="1"/>
      <protection locked="0"/>
    </xf>
    <xf numFmtId="0" fontId="8" fillId="2" borderId="1" xfId="11" applyFont="1" applyFill="1" applyBorder="1" applyAlignment="1" applyProtection="1">
      <alignment horizontal="left" vertical="center" wrapText="1" indent="3"/>
      <protection locked="0"/>
    </xf>
    <xf numFmtId="0" fontId="15" fillId="7" borderId="1" xfId="11" applyFont="1" applyFill="1" applyBorder="1" applyAlignment="1" applyProtection="1">
      <alignment vertical="center" wrapText="1"/>
      <protection locked="0"/>
    </xf>
    <xf numFmtId="0" fontId="15" fillId="7" borderId="27" xfId="11" applyFont="1" applyFill="1" applyBorder="1" applyAlignment="1" applyProtection="1">
      <alignment vertical="center" wrapText="1"/>
      <protection locked="0"/>
    </xf>
    <xf numFmtId="165" fontId="8" fillId="7" borderId="28" xfId="10" applyNumberFormat="1" applyFont="1" applyFill="1" applyBorder="1" applyAlignment="1" applyProtection="1">
      <alignment vertical="top" wrapText="1"/>
    </xf>
    <xf numFmtId="0" fontId="42" fillId="0" borderId="0" xfId="0" applyFont="1" applyAlignment="1">
      <alignment horizontal="right"/>
    </xf>
    <xf numFmtId="166" fontId="42" fillId="0" borderId="0" xfId="1" applyNumberFormat="1" applyFont="1"/>
    <xf numFmtId="38" fontId="4" fillId="0" borderId="0" xfId="0" applyNumberFormat="1" applyFont="1"/>
    <xf numFmtId="0" fontId="34" fillId="0" borderId="0" xfId="12" applyFont="1" applyAlignment="1" applyProtection="1">
      <alignment horizontal="left" vertical="center"/>
      <protection locked="0"/>
    </xf>
    <xf numFmtId="0" fontId="34" fillId="7" borderId="47" xfId="0" applyFont="1" applyFill="1" applyBorder="1" applyAlignment="1">
      <alignment horizontal="center" vertical="center" wrapText="1"/>
    </xf>
    <xf numFmtId="0" fontId="34" fillId="7" borderId="48" xfId="0" applyFont="1" applyFill="1" applyBorder="1" applyAlignment="1">
      <alignment horizontal="center" vertical="center" wrapText="1"/>
    </xf>
    <xf numFmtId="0" fontId="34" fillId="7" borderId="10" xfId="0" applyFont="1" applyFill="1" applyBorder="1" applyAlignment="1">
      <alignment horizontal="center" vertical="center" wrapText="1"/>
    </xf>
    <xf numFmtId="0" fontId="34" fillId="7" borderId="11" xfId="0" applyFont="1" applyFill="1" applyBorder="1" applyAlignment="1">
      <alignment horizontal="center" vertical="center" wrapText="1"/>
    </xf>
    <xf numFmtId="0" fontId="34" fillId="7" borderId="12" xfId="0" applyFont="1" applyFill="1" applyBorder="1" applyAlignment="1">
      <alignment horizontal="left" vertical="center" wrapText="1"/>
    </xf>
    <xf numFmtId="0" fontId="34" fillId="7" borderId="1" xfId="0" applyFont="1" applyFill="1" applyBorder="1" applyAlignment="1">
      <alignment horizontal="left" vertical="center" wrapText="1"/>
    </xf>
    <xf numFmtId="0" fontId="34" fillId="7" borderId="19" xfId="0" applyFont="1" applyFill="1" applyBorder="1" applyAlignment="1">
      <alignment horizontal="left" vertical="center" wrapText="1"/>
    </xf>
    <xf numFmtId="0" fontId="4" fillId="0" borderId="0" xfId="0" applyFont="1" applyAlignment="1">
      <alignment horizontal="left" vertical="center"/>
    </xf>
    <xf numFmtId="0" fontId="4" fillId="0" borderId="12" xfId="0" applyFont="1" applyBorder="1" applyAlignment="1">
      <alignment horizontal="right" vertical="center" wrapText="1"/>
    </xf>
    <xf numFmtId="0" fontId="4" fillId="0" borderId="1" xfId="0" applyFont="1" applyBorder="1" applyAlignment="1">
      <alignment horizontal="left" vertical="center" wrapText="1"/>
    </xf>
    <xf numFmtId="10" fontId="8" fillId="0" borderId="1" xfId="2" applyNumberFormat="1" applyFont="1" applyFill="1" applyBorder="1" applyAlignment="1">
      <alignment horizontal="left" vertical="center" wrapText="1"/>
    </xf>
    <xf numFmtId="166" fontId="4" fillId="0" borderId="19" xfId="1" applyNumberFormat="1" applyFont="1" applyBorder="1" applyAlignment="1">
      <alignment horizontal="right" vertical="center" wrapText="1"/>
    </xf>
    <xf numFmtId="10" fontId="34" fillId="7" borderId="1" xfId="0" applyNumberFormat="1" applyFont="1" applyFill="1" applyBorder="1" applyAlignment="1">
      <alignment horizontal="left" vertical="center" wrapText="1"/>
    </xf>
    <xf numFmtId="166" fontId="34" fillId="7" borderId="19" xfId="1" applyNumberFormat="1" applyFont="1" applyFill="1" applyBorder="1" applyAlignment="1">
      <alignment horizontal="right" vertical="center" wrapText="1"/>
    </xf>
    <xf numFmtId="0" fontId="13" fillId="0" borderId="12" xfId="0" applyFont="1" applyBorder="1" applyAlignment="1">
      <alignment horizontal="right" vertical="center" wrapText="1"/>
    </xf>
    <xf numFmtId="0" fontId="13" fillId="0" borderId="1" xfId="0" applyFont="1" applyBorder="1" applyAlignment="1">
      <alignment horizontal="left" vertical="center" wrapText="1"/>
    </xf>
    <xf numFmtId="10" fontId="13" fillId="0" borderId="1" xfId="2" applyNumberFormat="1" applyFont="1" applyFill="1" applyBorder="1" applyAlignment="1">
      <alignment horizontal="left" vertical="center" wrapText="1"/>
    </xf>
    <xf numFmtId="166" fontId="13" fillId="0" borderId="19" xfId="1" applyNumberFormat="1" applyFont="1" applyBorder="1" applyAlignment="1">
      <alignment horizontal="right" vertical="center" wrapText="1"/>
    </xf>
    <xf numFmtId="0" fontId="13" fillId="0" borderId="0" xfId="0" applyFont="1" applyAlignment="1">
      <alignment horizontal="left" vertical="center"/>
    </xf>
    <xf numFmtId="10" fontId="34" fillId="7" borderId="1" xfId="2" applyNumberFormat="1" applyFont="1" applyFill="1" applyBorder="1" applyAlignment="1">
      <alignment horizontal="left" vertical="center" wrapText="1"/>
    </xf>
    <xf numFmtId="49" fontId="13" fillId="0" borderId="12" xfId="0" applyNumberFormat="1" applyFont="1" applyBorder="1" applyAlignment="1">
      <alignment horizontal="right" vertical="center" wrapText="1"/>
    </xf>
    <xf numFmtId="0" fontId="34" fillId="7" borderId="23" xfId="0" applyFont="1" applyFill="1" applyBorder="1" applyAlignment="1">
      <alignment horizontal="center" vertical="center" wrapText="1"/>
    </xf>
    <xf numFmtId="0" fontId="34" fillId="7" borderId="30" xfId="0" applyFont="1" applyFill="1" applyBorder="1" applyAlignment="1">
      <alignment horizontal="center" vertical="center" wrapText="1"/>
    </xf>
    <xf numFmtId="10" fontId="34" fillId="7" borderId="1" xfId="0" applyNumberFormat="1" applyFont="1" applyFill="1" applyBorder="1" applyAlignment="1">
      <alignment horizontal="center" vertical="center" wrapText="1"/>
    </xf>
    <xf numFmtId="1" fontId="34" fillId="7" borderId="19" xfId="0" applyNumberFormat="1" applyFont="1" applyFill="1" applyBorder="1" applyAlignment="1">
      <alignment horizontal="center" vertical="center" wrapText="1"/>
    </xf>
    <xf numFmtId="0" fontId="34" fillId="0" borderId="12" xfId="0" applyFont="1" applyBorder="1" applyAlignment="1">
      <alignment horizontal="left" vertical="center" wrapText="1"/>
    </xf>
    <xf numFmtId="49" fontId="43" fillId="0" borderId="26" xfId="13" applyNumberFormat="1" applyFont="1" applyBorder="1" applyAlignment="1" applyProtection="1">
      <alignment horizontal="left" vertical="center"/>
      <protection locked="0"/>
    </xf>
    <xf numFmtId="0" fontId="44" fillId="0" borderId="27" xfId="9" applyFont="1" applyBorder="1" applyAlignment="1" applyProtection="1">
      <alignment horizontal="left" vertical="center" wrapText="1"/>
      <protection locked="0"/>
    </xf>
    <xf numFmtId="10" fontId="44" fillId="0" borderId="27" xfId="2" applyNumberFormat="1" applyFont="1" applyFill="1" applyBorder="1" applyAlignment="1" applyProtection="1">
      <alignment horizontal="left" vertical="center"/>
    </xf>
    <xf numFmtId="166" fontId="8" fillId="0" borderId="28" xfId="1" applyNumberFormat="1" applyFont="1" applyFill="1" applyBorder="1" applyAlignment="1" applyProtection="1">
      <alignment horizontal="right" vertical="center"/>
    </xf>
    <xf numFmtId="0" fontId="7" fillId="0" borderId="0" xfId="0" applyFont="1"/>
    <xf numFmtId="0" fontId="14" fillId="0" borderId="0" xfId="5" applyFont="1"/>
    <xf numFmtId="0" fontId="14" fillId="0" borderId="0" xfId="5" applyFont="1" applyAlignment="1">
      <alignment horizontal="center"/>
    </xf>
    <xf numFmtId="0" fontId="35" fillId="0" borderId="0" xfId="0" applyFont="1" applyAlignment="1" applyProtection="1">
      <alignment horizontal="right"/>
      <protection locked="0"/>
    </xf>
    <xf numFmtId="0" fontId="4" fillId="0" borderId="49"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43" fontId="45" fillId="0" borderId="52" xfId="1" applyFont="1" applyBorder="1" applyAlignment="1">
      <alignment horizontal="center" vertical="center"/>
    </xf>
    <xf numFmtId="169" fontId="7" fillId="0" borderId="53" xfId="0" applyNumberFormat="1" applyFont="1" applyBorder="1" applyAlignment="1">
      <alignment horizontal="center"/>
    </xf>
    <xf numFmtId="169" fontId="0" fillId="0" borderId="0" xfId="0" applyNumberFormat="1" applyAlignment="1">
      <alignment horizontal="center"/>
    </xf>
    <xf numFmtId="43" fontId="7" fillId="0" borderId="54" xfId="1" applyFont="1" applyBorder="1" applyAlignment="1">
      <alignment horizontal="center" vertical="center"/>
    </xf>
    <xf numFmtId="169" fontId="7" fillId="0" borderId="55" xfId="0" applyNumberFormat="1" applyFont="1" applyBorder="1" applyAlignment="1">
      <alignment horizontal="center"/>
    </xf>
    <xf numFmtId="169" fontId="46" fillId="0" borderId="55" xfId="0" applyNumberFormat="1" applyFont="1" applyBorder="1" applyAlignment="1">
      <alignment horizontal="center"/>
    </xf>
    <xf numFmtId="169" fontId="47" fillId="0" borderId="0" xfId="0" applyNumberFormat="1" applyFont="1" applyAlignment="1">
      <alignment horizontal="center"/>
    </xf>
    <xf numFmtId="43" fontId="12" fillId="0" borderId="54" xfId="1" applyFont="1" applyBorder="1" applyAlignment="1">
      <alignment horizontal="center" vertical="center"/>
    </xf>
    <xf numFmtId="43" fontId="45" fillId="0" borderId="54" xfId="1" applyFont="1" applyBorder="1" applyAlignment="1">
      <alignment horizontal="center" vertical="center"/>
    </xf>
    <xf numFmtId="43" fontId="46" fillId="0" borderId="54" xfId="1" applyFont="1" applyBorder="1" applyAlignment="1">
      <alignment horizontal="center" vertical="center"/>
    </xf>
    <xf numFmtId="0" fontId="25" fillId="2" borderId="32" xfId="0" applyFont="1" applyFill="1" applyBorder="1" applyAlignment="1">
      <alignment vertical="top" wrapText="1"/>
    </xf>
    <xf numFmtId="169" fontId="35" fillId="0" borderId="55" xfId="0" applyNumberFormat="1" applyFont="1" applyBorder="1" applyAlignment="1">
      <alignment horizontal="center"/>
    </xf>
    <xf numFmtId="43" fontId="7" fillId="0" borderId="56" xfId="1" applyFont="1" applyBorder="1" applyAlignment="1">
      <alignment horizontal="center" vertical="center"/>
    </xf>
    <xf numFmtId="169" fontId="7" fillId="0" borderId="57" xfId="0" applyNumberFormat="1" applyFont="1" applyBorder="1" applyAlignment="1">
      <alignment horizontal="center"/>
    </xf>
    <xf numFmtId="169" fontId="45" fillId="0" borderId="58" xfId="0" applyNumberFormat="1" applyFont="1" applyBorder="1" applyAlignment="1">
      <alignment horizontal="center"/>
    </xf>
    <xf numFmtId="169" fontId="3" fillId="0" borderId="0" xfId="0" applyNumberFormat="1" applyFont="1" applyAlignment="1">
      <alignment horizontal="center"/>
    </xf>
    <xf numFmtId="43" fontId="45" fillId="0" borderId="59" xfId="1" applyFont="1" applyBorder="1" applyAlignment="1">
      <alignment horizontal="center" vertical="center"/>
    </xf>
    <xf numFmtId="169" fontId="46" fillId="3" borderId="60" xfId="0" applyNumberFormat="1" applyFont="1" applyFill="1" applyBorder="1" applyAlignment="1">
      <alignment horizontal="center"/>
    </xf>
    <xf numFmtId="43" fontId="45" fillId="0" borderId="56" xfId="1" applyFont="1" applyBorder="1" applyAlignment="1">
      <alignment horizontal="center" vertical="center"/>
    </xf>
    <xf numFmtId="43" fontId="46" fillId="0" borderId="56" xfId="1" applyFont="1" applyBorder="1" applyAlignment="1">
      <alignment vertical="center"/>
    </xf>
    <xf numFmtId="169" fontId="7" fillId="0" borderId="61" xfId="0" applyNumberFormat="1" applyFont="1" applyBorder="1" applyAlignment="1">
      <alignment horizontal="center"/>
    </xf>
    <xf numFmtId="43" fontId="45" fillId="0" borderId="62" xfId="1" applyFont="1" applyBorder="1" applyAlignment="1">
      <alignment horizontal="center" vertical="center"/>
    </xf>
    <xf numFmtId="0" fontId="0" fillId="0" borderId="2" xfId="0" applyBorder="1" applyAlignment="1">
      <alignment horizontal="center"/>
    </xf>
    <xf numFmtId="0" fontId="24" fillId="0" borderId="2" xfId="7" applyFont="1" applyBorder="1" applyAlignment="1">
      <alignment horizontal="left" vertical="center" wrapText="1" indent="1"/>
    </xf>
    <xf numFmtId="0" fontId="24" fillId="2" borderId="1" xfId="0" applyFont="1" applyFill="1" applyBorder="1" applyAlignment="1">
      <alignment horizontal="left" vertical="center" wrapText="1" indent="1"/>
    </xf>
    <xf numFmtId="169" fontId="7" fillId="0" borderId="1" xfId="0" applyNumberFormat="1" applyFont="1" applyBorder="1" applyAlignment="1">
      <alignment horizontal="center"/>
    </xf>
    <xf numFmtId="43" fontId="45" fillId="0" borderId="1" xfId="1" applyFont="1" applyBorder="1" applyAlignment="1">
      <alignment horizontal="center"/>
    </xf>
    <xf numFmtId="0" fontId="24" fillId="0" borderId="1" xfId="0" applyFont="1" applyBorder="1" applyAlignment="1">
      <alignment horizontal="left" vertical="center" wrapText="1" indent="1"/>
    </xf>
    <xf numFmtId="43" fontId="7" fillId="0" borderId="1" xfId="1" applyFont="1" applyBorder="1" applyAlignment="1">
      <alignment horizontal="center"/>
    </xf>
    <xf numFmtId="43" fontId="7" fillId="0" borderId="1" xfId="1" applyFont="1" applyFill="1" applyBorder="1" applyAlignment="1">
      <alignment horizontal="center"/>
    </xf>
    <xf numFmtId="43" fontId="45" fillId="0" borderId="1" xfId="1" applyFont="1" applyBorder="1" applyAlignment="1">
      <alignment horizontal="center" vertical="center"/>
    </xf>
    <xf numFmtId="43" fontId="7" fillId="0" borderId="1" xfId="1" applyFont="1" applyBorder="1" applyAlignment="1">
      <alignment horizontal="center" vertical="center"/>
    </xf>
    <xf numFmtId="0" fontId="26" fillId="2" borderId="1" xfId="0" applyFont="1" applyFill="1" applyBorder="1" applyAlignment="1">
      <alignment horizontal="left" vertical="center" wrapText="1" indent="1"/>
    </xf>
    <xf numFmtId="0" fontId="26" fillId="0" borderId="1" xfId="0" applyFont="1" applyBorder="1" applyAlignment="1">
      <alignment horizontal="left" vertical="center" wrapText="1" indent="1"/>
    </xf>
    <xf numFmtId="166" fontId="48" fillId="0" borderId="0" xfId="1" applyNumberFormat="1" applyFont="1"/>
    <xf numFmtId="43" fontId="48" fillId="0" borderId="0" xfId="0" applyNumberFormat="1" applyFont="1"/>
    <xf numFmtId="0" fontId="34" fillId="0" borderId="0" xfId="0" applyFont="1" applyAlignment="1">
      <alignment horizontal="center" wrapText="1"/>
    </xf>
    <xf numFmtId="0" fontId="4" fillId="0" borderId="63" xfId="0" applyFont="1" applyBorder="1"/>
    <xf numFmtId="0" fontId="4" fillId="0" borderId="64" xfId="0" applyFont="1" applyBorder="1"/>
    <xf numFmtId="0" fontId="4" fillId="0" borderId="10" xfId="0" applyFont="1" applyBorder="1" applyAlignment="1">
      <alignment horizontal="center" vertical="center"/>
    </xf>
    <xf numFmtId="0" fontId="4" fillId="0" borderId="40" xfId="0" applyFont="1" applyBorder="1" applyAlignment="1">
      <alignment horizontal="center" vertical="center"/>
    </xf>
    <xf numFmtId="0" fontId="4" fillId="0" borderId="11" xfId="0" applyFont="1" applyBorder="1" applyAlignment="1">
      <alignment horizontal="center" vertical="center"/>
    </xf>
    <xf numFmtId="0" fontId="4" fillId="0" borderId="65" xfId="0" applyFont="1" applyBorder="1"/>
    <xf numFmtId="0" fontId="4" fillId="0" borderId="2" xfId="0" applyFont="1" applyBorder="1" applyAlignment="1">
      <alignment horizontal="center" vertical="center" wrapText="1"/>
    </xf>
    <xf numFmtId="9" fontId="4" fillId="0" borderId="20" xfId="0" applyNumberFormat="1" applyFont="1" applyBorder="1" applyAlignment="1">
      <alignment horizontal="center" vertical="center"/>
    </xf>
    <xf numFmtId="9" fontId="4" fillId="0" borderId="30" xfId="0" applyNumberFormat="1" applyFont="1" applyBorder="1" applyAlignment="1">
      <alignment horizontal="center" vertical="center"/>
    </xf>
    <xf numFmtId="0" fontId="49" fillId="2" borderId="25" xfId="11" applyFont="1" applyFill="1" applyBorder="1" applyAlignment="1" applyProtection="1">
      <alignment horizontal="center" vertical="center" wrapText="1"/>
      <protection locked="0"/>
    </xf>
    <xf numFmtId="0" fontId="4" fillId="0" borderId="29" xfId="0" applyFont="1" applyBorder="1" applyAlignment="1">
      <alignment horizontal="center" vertical="center" wrapText="1"/>
    </xf>
    <xf numFmtId="9" fontId="50" fillId="0" borderId="1" xfId="0" applyNumberFormat="1" applyFont="1" applyBorder="1" applyAlignment="1">
      <alignment horizontal="center" vertical="center"/>
    </xf>
    <xf numFmtId="0" fontId="49" fillId="2" borderId="42" xfId="11" applyFont="1" applyFill="1" applyBorder="1" applyAlignment="1" applyProtection="1">
      <alignment horizontal="center" vertical="center" wrapText="1"/>
      <protection locked="0"/>
    </xf>
    <xf numFmtId="0" fontId="4" fillId="0" borderId="12" xfId="0" applyFont="1" applyBorder="1" applyAlignment="1">
      <alignment vertical="center"/>
    </xf>
    <xf numFmtId="0" fontId="8" fillId="2" borderId="1" xfId="11" applyFont="1" applyFill="1" applyBorder="1" applyAlignment="1" applyProtection="1">
      <alignment horizontal="left" vertical="center"/>
      <protection locked="0"/>
    </xf>
    <xf numFmtId="165" fontId="4" fillId="0" borderId="1" xfId="0" applyNumberFormat="1" applyFont="1" applyBorder="1"/>
    <xf numFmtId="165" fontId="4" fillId="0" borderId="20" xfId="0" applyNumberFormat="1" applyFont="1" applyBorder="1"/>
    <xf numFmtId="169" fontId="4" fillId="0" borderId="19" xfId="0" applyNumberFormat="1" applyFont="1" applyBorder="1"/>
    <xf numFmtId="0" fontId="8" fillId="0" borderId="1" xfId="11" applyFont="1" applyBorder="1" applyAlignment="1" applyProtection="1">
      <alignment horizontal="left" vertical="center"/>
      <protection locked="0"/>
    </xf>
    <xf numFmtId="0" fontId="8" fillId="2" borderId="26" xfId="9" applyFont="1" applyFill="1" applyBorder="1" applyAlignment="1" applyProtection="1">
      <alignment horizontal="left" vertical="center"/>
      <protection locked="0"/>
    </xf>
    <xf numFmtId="0" fontId="15" fillId="2" borderId="27" xfId="14" applyFont="1" applyFill="1" applyBorder="1" applyAlignment="1" applyProtection="1">
      <alignment vertical="top" wrapText="1"/>
      <protection locked="0"/>
    </xf>
    <xf numFmtId="165" fontId="4" fillId="7" borderId="27" xfId="0" applyNumberFormat="1" applyFont="1" applyFill="1" applyBorder="1"/>
    <xf numFmtId="166" fontId="4" fillId="7" borderId="28" xfId="1" applyNumberFormat="1" applyFont="1" applyFill="1" applyBorder="1"/>
    <xf numFmtId="0" fontId="4" fillId="0" borderId="9" xfId="0" applyFont="1" applyBorder="1"/>
    <xf numFmtId="0" fontId="4" fillId="0" borderId="11" xfId="0" applyFont="1" applyBorder="1"/>
    <xf numFmtId="166" fontId="15" fillId="2" borderId="9" xfId="15" applyNumberFormat="1" applyFont="1" applyFill="1" applyBorder="1" applyAlignment="1" applyProtection="1">
      <alignment horizontal="center"/>
      <protection locked="0"/>
    </xf>
    <xf numFmtId="166" fontId="15" fillId="2" borderId="10" xfId="15" applyNumberFormat="1" applyFont="1" applyFill="1" applyBorder="1" applyAlignment="1" applyProtection="1">
      <alignment horizontal="center"/>
      <protection locked="0"/>
    </xf>
    <xf numFmtId="166" fontId="15" fillId="2" borderId="11" xfId="15" applyNumberFormat="1" applyFont="1" applyFill="1" applyBorder="1" applyAlignment="1" applyProtection="1">
      <alignment horizontal="center"/>
      <protection locked="0"/>
    </xf>
    <xf numFmtId="166" fontId="15" fillId="0" borderId="66" xfId="15" applyNumberFormat="1" applyFont="1" applyFill="1" applyBorder="1" applyAlignment="1" applyProtection="1">
      <alignment horizontal="center" vertical="center" wrapText="1"/>
      <protection locked="0"/>
    </xf>
    <xf numFmtId="0" fontId="34" fillId="0" borderId="67" xfId="0" applyFont="1" applyBorder="1" applyAlignment="1">
      <alignment horizontal="center" vertical="center" wrapText="1"/>
    </xf>
    <xf numFmtId="0" fontId="4" fillId="0" borderId="19" xfId="0" applyFont="1" applyBorder="1" applyAlignment="1">
      <alignment horizontal="center" vertical="center"/>
    </xf>
    <xf numFmtId="166" fontId="8" fillId="2" borderId="12" xfId="15" applyNumberFormat="1" applyFont="1" applyFill="1" applyBorder="1" applyAlignment="1" applyProtection="1">
      <alignment horizontal="center" vertical="center" wrapText="1"/>
      <protection locked="0"/>
    </xf>
    <xf numFmtId="166" fontId="8" fillId="2" borderId="1" xfId="15" applyNumberFormat="1" applyFont="1" applyFill="1" applyBorder="1" applyAlignment="1" applyProtection="1">
      <alignment horizontal="center" vertical="center" wrapText="1"/>
      <protection locked="0"/>
    </xf>
    <xf numFmtId="0" fontId="8" fillId="0" borderId="1" xfId="11" applyFont="1" applyBorder="1" applyAlignment="1" applyProtection="1">
      <alignment horizontal="center" vertical="center" wrapText="1"/>
      <protection locked="0"/>
    </xf>
    <xf numFmtId="166" fontId="8" fillId="2" borderId="19" xfId="15" applyNumberFormat="1" applyFont="1" applyFill="1" applyBorder="1" applyAlignment="1" applyProtection="1">
      <alignment horizontal="center" vertical="center" wrapText="1"/>
      <protection locked="0"/>
    </xf>
    <xf numFmtId="166" fontId="15" fillId="0" borderId="68" xfId="15" applyNumberFormat="1" applyFont="1" applyFill="1" applyBorder="1" applyAlignment="1" applyProtection="1">
      <alignment horizontal="center" vertical="center" wrapText="1"/>
      <protection locked="0"/>
    </xf>
    <xf numFmtId="0" fontId="34" fillId="0" borderId="69" xfId="0" applyFont="1" applyBorder="1" applyAlignment="1">
      <alignment horizontal="center" vertical="center" wrapText="1"/>
    </xf>
    <xf numFmtId="0" fontId="8" fillId="2" borderId="12" xfId="13" applyFont="1" applyFill="1" applyBorder="1" applyAlignment="1" applyProtection="1">
      <alignment horizontal="right" vertical="center"/>
      <protection locked="0"/>
    </xf>
    <xf numFmtId="0" fontId="8" fillId="2" borderId="19" xfId="11" applyFont="1" applyFill="1" applyBorder="1" applyAlignment="1" applyProtection="1">
      <alignment horizontal="left" vertical="center"/>
      <protection locked="0"/>
    </xf>
    <xf numFmtId="165" fontId="4" fillId="0" borderId="12" xfId="0" applyNumberFormat="1" applyFont="1" applyBorder="1"/>
    <xf numFmtId="165" fontId="4" fillId="0" borderId="19" xfId="0" applyNumberFormat="1" applyFont="1" applyBorder="1"/>
    <xf numFmtId="165" fontId="4" fillId="0" borderId="22" xfId="0" applyNumberFormat="1" applyFont="1" applyBorder="1" applyAlignment="1">
      <alignment wrapText="1"/>
    </xf>
    <xf numFmtId="165" fontId="4" fillId="0" borderId="22" xfId="0" applyNumberFormat="1" applyFont="1" applyBorder="1"/>
    <xf numFmtId="165" fontId="4" fillId="7" borderId="69" xfId="0" applyNumberFormat="1" applyFont="1" applyFill="1" applyBorder="1"/>
    <xf numFmtId="0" fontId="15" fillId="2" borderId="28" xfId="14" applyFont="1" applyFill="1" applyBorder="1" applyProtection="1">
      <protection locked="0"/>
    </xf>
    <xf numFmtId="165" fontId="4" fillId="7" borderId="26" xfId="0" applyNumberFormat="1" applyFont="1" applyFill="1" applyBorder="1"/>
    <xf numFmtId="165" fontId="4" fillId="7" borderId="28" xfId="0" applyNumberFormat="1" applyFont="1" applyFill="1" applyBorder="1"/>
    <xf numFmtId="165" fontId="4" fillId="7" borderId="70" xfId="0" applyNumberFormat="1" applyFont="1" applyFill="1" applyBorder="1"/>
    <xf numFmtId="0" fontId="4" fillId="0" borderId="0" xfId="0" applyFont="1" applyAlignment="1">
      <alignment horizontal="center" vertical="center" wrapText="1"/>
    </xf>
    <xf numFmtId="0" fontId="4" fillId="0" borderId="0" xfId="0" applyFont="1" applyAlignment="1">
      <alignment vertical="center" wrapText="1"/>
    </xf>
    <xf numFmtId="0" fontId="4" fillId="0" borderId="10" xfId="0" applyFont="1" applyBorder="1"/>
    <xf numFmtId="0" fontId="4" fillId="0" borderId="10" xfId="0" applyFont="1" applyBorder="1" applyAlignment="1">
      <alignment wrapText="1"/>
    </xf>
    <xf numFmtId="0" fontId="4" fillId="0" borderId="40" xfId="0" applyFont="1" applyBorder="1" applyAlignment="1">
      <alignment wrapText="1"/>
    </xf>
    <xf numFmtId="0" fontId="4" fillId="0" borderId="11" xfId="0" applyFont="1" applyBorder="1" applyAlignment="1">
      <alignment wrapText="1"/>
    </xf>
    <xf numFmtId="0" fontId="33" fillId="0" borderId="0" xfId="0" applyFont="1" applyAlignment="1">
      <alignment wrapText="1"/>
    </xf>
    <xf numFmtId="0" fontId="4" fillId="0" borderId="29" xfId="0" applyFont="1" applyBorder="1"/>
    <xf numFmtId="0" fontId="4" fillId="0" borderId="20" xfId="0" applyFont="1" applyBorder="1" applyAlignment="1">
      <alignment horizontal="center" wrapText="1"/>
    </xf>
    <xf numFmtId="0" fontId="4" fillId="0" borderId="30" xfId="0" applyFont="1" applyBorder="1" applyAlignment="1">
      <alignment horizontal="center" wrapText="1"/>
    </xf>
    <xf numFmtId="0" fontId="4" fillId="0" borderId="2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2" xfId="0" applyFont="1" applyBorder="1"/>
    <xf numFmtId="9" fontId="4" fillId="0" borderId="19" xfId="2" applyFont="1" applyBorder="1"/>
    <xf numFmtId="0" fontId="4" fillId="0" borderId="26" xfId="0" applyFont="1" applyBorder="1"/>
    <xf numFmtId="0" fontId="34" fillId="0" borderId="27" xfId="0" applyFont="1" applyBorder="1" applyAlignment="1">
      <alignment vertical="top" wrapText="1"/>
    </xf>
    <xf numFmtId="9" fontId="4" fillId="7" borderId="28" xfId="2" applyFont="1" applyFill="1" applyBorder="1"/>
    <xf numFmtId="0" fontId="4" fillId="0" borderId="0" xfId="0" applyFont="1" applyAlignment="1">
      <alignment horizontal="left"/>
    </xf>
    <xf numFmtId="0" fontId="51" fillId="0" borderId="63" xfId="0" applyFont="1" applyBorder="1" applyAlignment="1">
      <alignment horizontal="left" vertical="center"/>
    </xf>
    <xf numFmtId="0" fontId="51" fillId="0" borderId="64" xfId="0" applyFont="1" applyBorder="1" applyAlignment="1">
      <alignment horizontal="left" vertical="center"/>
    </xf>
    <xf numFmtId="0" fontId="4" fillId="0" borderId="64" xfId="0" applyFont="1" applyBorder="1" applyAlignment="1">
      <alignment horizontal="center" vertical="center" wrapText="1"/>
    </xf>
    <xf numFmtId="0" fontId="4" fillId="0" borderId="71" xfId="0" applyFont="1" applyBorder="1" applyAlignment="1">
      <alignment horizontal="center" vertical="center" wrapText="1"/>
    </xf>
    <xf numFmtId="0" fontId="51" fillId="2" borderId="14" xfId="0" applyFont="1" applyFill="1" applyBorder="1" applyAlignment="1">
      <alignment horizontal="left"/>
    </xf>
    <xf numFmtId="0" fontId="51" fillId="2" borderId="4" xfId="0" applyFont="1" applyFill="1" applyBorder="1" applyAlignment="1">
      <alignment horizontal="left"/>
    </xf>
    <xf numFmtId="0" fontId="4" fillId="0" borderId="19" xfId="0" applyFont="1" applyBorder="1" applyAlignment="1">
      <alignment horizontal="center" vertical="center" wrapText="1"/>
    </xf>
    <xf numFmtId="0" fontId="34" fillId="2" borderId="23" xfId="0" applyFont="1" applyFill="1" applyBorder="1" applyAlignment="1">
      <alignment vertical="center"/>
    </xf>
    <xf numFmtId="0" fontId="4" fillId="2" borderId="21" xfId="0" applyFont="1" applyFill="1" applyBorder="1" applyAlignment="1">
      <alignment vertical="center"/>
    </xf>
    <xf numFmtId="0" fontId="4" fillId="2" borderId="22" xfId="0" applyFont="1" applyFill="1" applyBorder="1" applyAlignment="1">
      <alignment vertical="center"/>
    </xf>
    <xf numFmtId="0" fontId="4" fillId="0" borderId="38" xfId="0" applyFont="1" applyBorder="1" applyAlignment="1">
      <alignment horizontal="center" vertical="center"/>
    </xf>
    <xf numFmtId="0" fontId="4" fillId="0" borderId="29" xfId="0" applyFont="1" applyBorder="1" applyAlignment="1">
      <alignment vertical="center"/>
    </xf>
    <xf numFmtId="164" fontId="18" fillId="4" borderId="0" xfId="6"/>
    <xf numFmtId="166" fontId="4" fillId="0" borderId="15" xfId="1" applyNumberFormat="1" applyFont="1" applyBorder="1" applyAlignment="1">
      <alignment vertical="center"/>
    </xf>
    <xf numFmtId="166" fontId="4" fillId="0" borderId="42" xfId="1" applyNumberFormat="1" applyFont="1" applyBorder="1" applyAlignment="1">
      <alignment vertical="center"/>
    </xf>
    <xf numFmtId="166" fontId="4" fillId="2" borderId="21" xfId="1" applyNumberFormat="1" applyFont="1" applyFill="1" applyBorder="1" applyAlignment="1">
      <alignment vertical="center"/>
    </xf>
    <xf numFmtId="166" fontId="4" fillId="2" borderId="22" xfId="1" applyNumberFormat="1" applyFont="1" applyFill="1" applyBorder="1" applyAlignment="1">
      <alignment vertical="center"/>
    </xf>
    <xf numFmtId="0" fontId="4" fillId="0" borderId="1" xfId="0" applyFont="1" applyBorder="1" applyAlignment="1">
      <alignment vertical="center"/>
    </xf>
    <xf numFmtId="166" fontId="4" fillId="0" borderId="20" xfId="1" applyNumberFormat="1" applyFont="1" applyBorder="1" applyAlignment="1">
      <alignment vertical="center"/>
    </xf>
    <xf numFmtId="166" fontId="4" fillId="0" borderId="19" xfId="1" applyNumberFormat="1" applyFont="1" applyBorder="1" applyAlignment="1">
      <alignment vertical="center"/>
    </xf>
    <xf numFmtId="0" fontId="34" fillId="0" borderId="1" xfId="0" applyFont="1" applyBorder="1" applyAlignment="1">
      <alignment vertical="center"/>
    </xf>
    <xf numFmtId="166" fontId="4" fillId="2" borderId="21" xfId="0" applyNumberFormat="1" applyFont="1" applyFill="1" applyBorder="1" applyAlignment="1">
      <alignment vertical="center"/>
    </xf>
    <xf numFmtId="166" fontId="4" fillId="0" borderId="1" xfId="0" applyNumberFormat="1" applyFont="1" applyBorder="1" applyAlignment="1">
      <alignment vertical="center"/>
    </xf>
    <xf numFmtId="166" fontId="4" fillId="0" borderId="20" xfId="0" applyNumberFormat="1" applyFont="1" applyBorder="1" applyAlignment="1">
      <alignment vertical="center"/>
    </xf>
    <xf numFmtId="0" fontId="4" fillId="0" borderId="26" xfId="0" applyFont="1" applyBorder="1" applyAlignment="1">
      <alignment horizontal="center" vertical="center"/>
    </xf>
    <xf numFmtId="0" fontId="34" fillId="0" borderId="27" xfId="0" applyFont="1" applyBorder="1" applyAlignment="1">
      <alignment vertical="center"/>
    </xf>
    <xf numFmtId="166" fontId="4" fillId="0" borderId="27" xfId="1" applyNumberFormat="1" applyFont="1" applyBorder="1" applyAlignment="1">
      <alignment vertical="center"/>
    </xf>
    <xf numFmtId="166" fontId="4" fillId="0" borderId="41" xfId="1" applyNumberFormat="1" applyFont="1" applyBorder="1" applyAlignment="1">
      <alignment vertical="center"/>
    </xf>
    <xf numFmtId="166" fontId="4" fillId="0" borderId="28" xfId="1" applyNumberFormat="1" applyFont="1" applyBorder="1" applyAlignment="1">
      <alignment vertical="center"/>
    </xf>
    <xf numFmtId="0" fontId="4" fillId="2" borderId="65" xfId="0" applyFont="1" applyFill="1" applyBorder="1" applyAlignment="1">
      <alignment horizontal="center" vertical="center"/>
    </xf>
    <xf numFmtId="0" fontId="4" fillId="2" borderId="0" xfId="0" applyFont="1" applyFill="1" applyAlignment="1">
      <alignment vertical="top" wrapText="1"/>
    </xf>
    <xf numFmtId="0" fontId="4" fillId="2" borderId="0" xfId="0" applyFont="1" applyFill="1" applyAlignment="1">
      <alignment vertical="center"/>
    </xf>
    <xf numFmtId="0" fontId="4" fillId="0" borderId="50" xfId="0" applyFont="1" applyBorder="1" applyAlignment="1">
      <alignment horizontal="center" vertical="center" wrapText="1"/>
    </xf>
    <xf numFmtId="0" fontId="4" fillId="0" borderId="9" xfId="0" applyFont="1" applyBorder="1" applyAlignment="1">
      <alignment horizontal="center" vertical="center"/>
    </xf>
    <xf numFmtId="0" fontId="4" fillId="0" borderId="40" xfId="0" applyFont="1" applyBorder="1" applyAlignment="1">
      <alignment vertical="center"/>
    </xf>
    <xf numFmtId="164" fontId="18" fillId="4" borderId="63" xfId="6" applyBorder="1"/>
    <xf numFmtId="164" fontId="18" fillId="4" borderId="64" xfId="6" applyBorder="1"/>
    <xf numFmtId="166" fontId="4" fillId="0" borderId="40" xfId="1" applyNumberFormat="1" applyFont="1" applyBorder="1" applyAlignment="1">
      <alignment vertical="center"/>
    </xf>
    <xf numFmtId="43" fontId="4" fillId="0" borderId="40" xfId="1" applyFont="1" applyBorder="1" applyAlignment="1">
      <alignment vertical="center"/>
    </xf>
    <xf numFmtId="43" fontId="4" fillId="0" borderId="11" xfId="1" applyFont="1" applyBorder="1" applyAlignment="1">
      <alignment vertical="center"/>
    </xf>
    <xf numFmtId="0" fontId="4" fillId="0" borderId="24" xfId="0" applyFont="1" applyBorder="1" applyAlignment="1">
      <alignment horizontal="center" vertical="center"/>
    </xf>
    <xf numFmtId="0" fontId="4" fillId="0" borderId="3" xfId="0" applyFont="1" applyBorder="1" applyAlignment="1">
      <alignment vertical="center"/>
    </xf>
    <xf numFmtId="164" fontId="18" fillId="4" borderId="72" xfId="6" applyBorder="1"/>
    <xf numFmtId="164" fontId="18" fillId="4" borderId="45" xfId="6" applyBorder="1"/>
    <xf numFmtId="164" fontId="18" fillId="4" borderId="43" xfId="6" applyBorder="1"/>
    <xf numFmtId="166" fontId="4" fillId="0" borderId="3" xfId="1" applyNumberFormat="1" applyFont="1" applyBorder="1" applyAlignment="1">
      <alignment vertical="center"/>
    </xf>
    <xf numFmtId="43" fontId="4" fillId="0" borderId="3" xfId="1" applyFont="1" applyBorder="1" applyAlignment="1">
      <alignment vertical="center"/>
    </xf>
    <xf numFmtId="43" fontId="4" fillId="0" borderId="25" xfId="1" applyFont="1" applyBorder="1" applyAlignment="1">
      <alignment vertical="center"/>
    </xf>
    <xf numFmtId="0" fontId="4" fillId="0" borderId="73" xfId="0" applyFont="1" applyBorder="1" applyAlignment="1">
      <alignment horizontal="center" vertical="center"/>
    </xf>
    <xf numFmtId="0" fontId="4" fillId="0" borderId="74" xfId="0" applyFont="1" applyBorder="1" applyAlignment="1">
      <alignment vertical="center"/>
    </xf>
    <xf numFmtId="164" fontId="18" fillId="4" borderId="6" xfId="6" applyBorder="1"/>
    <xf numFmtId="164" fontId="18" fillId="4" borderId="7" xfId="6" applyBorder="1"/>
    <xf numFmtId="9" fontId="4" fillId="0" borderId="74" xfId="2" applyFont="1" applyBorder="1" applyAlignment="1">
      <alignment vertical="center"/>
    </xf>
    <xf numFmtId="9" fontId="4" fillId="0" borderId="75" xfId="2" applyFont="1" applyBorder="1" applyAlignment="1">
      <alignment vertical="center"/>
    </xf>
    <xf numFmtId="43" fontId="4" fillId="0" borderId="0" xfId="0" applyNumberFormat="1" applyFont="1"/>
    <xf numFmtId="0" fontId="45" fillId="0" borderId="0" xfId="0" applyFont="1"/>
    <xf numFmtId="0" fontId="4" fillId="0" borderId="63" xfId="0" applyFont="1" applyBorder="1" applyAlignment="1">
      <alignment horizontal="center"/>
    </xf>
    <xf numFmtId="0" fontId="4" fillId="0" borderId="64"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33" fillId="0" borderId="0" xfId="0" applyFont="1" applyAlignment="1">
      <alignment horizontal="center"/>
    </xf>
    <xf numFmtId="0" fontId="9" fillId="2" borderId="12" xfId="13" applyFont="1" applyFill="1" applyBorder="1" applyAlignment="1" applyProtection="1">
      <alignment horizontal="left" vertical="center"/>
      <protection locked="0"/>
    </xf>
    <xf numFmtId="0" fontId="9" fillId="2" borderId="1" xfId="13" applyFont="1" applyFill="1" applyBorder="1" applyProtection="1">
      <protection locked="0"/>
    </xf>
    <xf numFmtId="0" fontId="9" fillId="0" borderId="1" xfId="11" applyFont="1" applyBorder="1" applyAlignment="1" applyProtection="1">
      <alignment horizontal="center" vertical="center" wrapText="1"/>
      <protection locked="0"/>
    </xf>
    <xf numFmtId="0" fontId="9" fillId="2" borderId="1" xfId="11" applyFont="1" applyFill="1" applyBorder="1" applyAlignment="1" applyProtection="1">
      <alignment horizontal="center" vertical="center" wrapText="1"/>
      <protection locked="0"/>
    </xf>
    <xf numFmtId="3" fontId="9" fillId="2" borderId="1" xfId="15" applyNumberFormat="1" applyFont="1" applyFill="1" applyBorder="1" applyAlignment="1" applyProtection="1">
      <alignment horizontal="center" vertical="center" wrapText="1"/>
      <protection locked="0"/>
    </xf>
    <xf numFmtId="9" fontId="9" fillId="2" borderId="1" xfId="16" applyNumberFormat="1" applyFont="1" applyFill="1" applyBorder="1" applyAlignment="1" applyProtection="1">
      <alignment horizontal="center" vertical="center"/>
      <protection locked="0"/>
    </xf>
    <xf numFmtId="0" fontId="9" fillId="2" borderId="19" xfId="11" applyFont="1" applyFill="1" applyBorder="1" applyAlignment="1" applyProtection="1">
      <alignment horizontal="center" vertical="center" wrapText="1"/>
      <protection locked="0"/>
    </xf>
    <xf numFmtId="0" fontId="9" fillId="2" borderId="12" xfId="13" applyFont="1" applyFill="1" applyBorder="1" applyAlignment="1" applyProtection="1">
      <alignment horizontal="right" vertical="center"/>
      <protection locked="0"/>
    </xf>
    <xf numFmtId="0" fontId="14" fillId="2" borderId="1" xfId="11" applyFont="1" applyFill="1" applyBorder="1" applyAlignment="1" applyProtection="1">
      <alignment wrapText="1"/>
      <protection locked="0"/>
    </xf>
    <xf numFmtId="165" fontId="9" fillId="7" borderId="1" xfId="13" applyNumberFormat="1" applyFont="1" applyFill="1" applyBorder="1" applyProtection="1">
      <protection locked="0"/>
    </xf>
    <xf numFmtId="165" fontId="9" fillId="7" borderId="1" xfId="15" applyNumberFormat="1" applyFont="1" applyFill="1" applyBorder="1" applyProtection="1">
      <protection locked="0"/>
    </xf>
    <xf numFmtId="3" fontId="9" fillId="7" borderId="19" xfId="13" applyNumberFormat="1" applyFont="1" applyFill="1" applyBorder="1" applyProtection="1">
      <protection locked="0"/>
    </xf>
    <xf numFmtId="0" fontId="9" fillId="2" borderId="1" xfId="11" applyFont="1" applyFill="1" applyBorder="1" applyAlignment="1" applyProtection="1">
      <alignment horizontal="left" vertical="center" wrapText="1"/>
      <protection locked="0"/>
    </xf>
    <xf numFmtId="165" fontId="9" fillId="2" borderId="1" xfId="13" applyNumberFormat="1" applyFont="1" applyFill="1" applyBorder="1" applyProtection="1">
      <protection locked="0"/>
    </xf>
    <xf numFmtId="167" fontId="9" fillId="2" borderId="1" xfId="8" applyNumberFormat="1" applyFont="1" applyFill="1" applyBorder="1" applyAlignment="1" applyProtection="1">
      <alignment horizontal="right" wrapText="1"/>
      <protection locked="0"/>
    </xf>
    <xf numFmtId="0" fontId="9" fillId="0" borderId="1" xfId="11" applyFont="1" applyBorder="1" applyAlignment="1" applyProtection="1">
      <alignment horizontal="left" vertical="center" wrapText="1"/>
      <protection locked="0"/>
    </xf>
    <xf numFmtId="167" fontId="9" fillId="10" borderId="1" xfId="8" applyNumberFormat="1" applyFont="1" applyFill="1" applyBorder="1" applyAlignment="1" applyProtection="1">
      <alignment horizontal="right" wrapText="1"/>
      <protection locked="0"/>
    </xf>
    <xf numFmtId="0" fontId="14" fillId="0" borderId="1" xfId="11" applyFont="1" applyBorder="1" applyAlignment="1" applyProtection="1">
      <alignment wrapText="1"/>
      <protection locked="0"/>
    </xf>
    <xf numFmtId="165" fontId="9" fillId="0" borderId="1" xfId="15" applyNumberFormat="1" applyFont="1" applyFill="1" applyBorder="1" applyProtection="1">
      <protection locked="0"/>
    </xf>
    <xf numFmtId="0" fontId="9" fillId="2" borderId="26" xfId="9" applyFont="1" applyFill="1" applyBorder="1" applyAlignment="1" applyProtection="1">
      <alignment horizontal="right" vertical="center"/>
      <protection locked="0"/>
    </xf>
    <xf numFmtId="0" fontId="14" fillId="2" borderId="27" xfId="14" applyFont="1" applyFill="1" applyBorder="1" applyProtection="1">
      <protection locked="0"/>
    </xf>
    <xf numFmtId="165" fontId="14" fillId="7" borderId="27" xfId="14" applyNumberFormat="1" applyFont="1" applyFill="1" applyBorder="1" applyProtection="1">
      <protection locked="0"/>
    </xf>
    <xf numFmtId="3" fontId="14" fillId="7" borderId="27" xfId="14" applyNumberFormat="1" applyFont="1" applyFill="1" applyBorder="1" applyProtection="1">
      <protection locked="0"/>
    </xf>
    <xf numFmtId="165" fontId="14" fillId="7" borderId="27" xfId="15" applyNumberFormat="1" applyFont="1" applyFill="1" applyBorder="1" applyAlignment="1" applyProtection="1">
      <protection locked="0"/>
    </xf>
    <xf numFmtId="165" fontId="9" fillId="2" borderId="27" xfId="13" applyNumberFormat="1" applyFont="1" applyFill="1" applyBorder="1" applyProtection="1">
      <protection locked="0"/>
    </xf>
    <xf numFmtId="166" fontId="14" fillId="7" borderId="28" xfId="15" applyNumberFormat="1" applyFont="1" applyFill="1" applyBorder="1" applyAlignment="1" applyProtection="1">
      <protection locked="0"/>
    </xf>
    <xf numFmtId="0" fontId="7" fillId="0" borderId="0" xfId="0" applyFont="1" applyAlignment="1">
      <alignment vertical="top" wrapText="1"/>
    </xf>
    <xf numFmtId="165" fontId="7" fillId="0" borderId="0" xfId="0" applyNumberFormat="1" applyFont="1"/>
    <xf numFmtId="0" fontId="52" fillId="11" borderId="20" xfId="17" applyFont="1" applyFill="1" applyBorder="1" applyAlignment="1" applyProtection="1">
      <alignment vertical="center" wrapText="1"/>
      <protection locked="0"/>
    </xf>
    <xf numFmtId="0" fontId="53" fillId="11" borderId="30" xfId="17" applyFont="1" applyFill="1" applyBorder="1" applyProtection="1">
      <alignment vertical="center"/>
      <protection locked="0"/>
    </xf>
    <xf numFmtId="0" fontId="54" fillId="12" borderId="2" xfId="17" applyFont="1" applyFill="1" applyBorder="1" applyAlignment="1" applyProtection="1">
      <alignment horizontal="center" vertical="center"/>
      <protection locked="0"/>
    </xf>
    <xf numFmtId="0" fontId="54" fillId="0" borderId="30" xfId="17" applyFont="1" applyBorder="1" applyAlignment="1" applyProtection="1">
      <alignment horizontal="left" vertical="center" wrapText="1"/>
      <protection locked="0"/>
    </xf>
    <xf numFmtId="170" fontId="0" fillId="0" borderId="0" xfId="0" applyNumberFormat="1"/>
    <xf numFmtId="0" fontId="52" fillId="9" borderId="1" xfId="17" applyFont="1" applyFill="1" applyBorder="1" applyAlignment="1" applyProtection="1">
      <alignment horizontal="center" vertical="center"/>
      <protection locked="0"/>
    </xf>
    <xf numFmtId="0" fontId="52" fillId="9" borderId="30" xfId="17" applyFont="1" applyFill="1" applyBorder="1" applyAlignment="1" applyProtection="1">
      <alignment vertical="top" wrapText="1"/>
      <protection locked="0"/>
    </xf>
    <xf numFmtId="166" fontId="54" fillId="9" borderId="1" xfId="18" applyNumberFormat="1" applyFont="1" applyFill="1" applyBorder="1" applyAlignment="1" applyProtection="1">
      <alignment horizontal="right" vertical="center"/>
    </xf>
    <xf numFmtId="0" fontId="52" fillId="11" borderId="20" xfId="17" applyFont="1" applyFill="1" applyBorder="1" applyProtection="1">
      <alignment vertical="center"/>
      <protection locked="0"/>
    </xf>
    <xf numFmtId="166" fontId="53" fillId="11" borderId="30" xfId="18" applyNumberFormat="1" applyFont="1" applyFill="1" applyBorder="1" applyAlignment="1" applyProtection="1">
      <alignment horizontal="right" vertical="center"/>
      <protection locked="0"/>
    </xf>
    <xf numFmtId="0" fontId="55" fillId="12" borderId="2" xfId="17" applyFont="1" applyFill="1" applyBorder="1" applyAlignment="1" applyProtection="1">
      <alignment horizontal="center" vertical="center"/>
      <protection locked="0"/>
    </xf>
    <xf numFmtId="0" fontId="54" fillId="12" borderId="30" xfId="17" applyFont="1" applyFill="1" applyBorder="1" applyAlignment="1" applyProtection="1">
      <alignment vertical="center" wrapText="1"/>
      <protection locked="0"/>
    </xf>
    <xf numFmtId="166" fontId="54" fillId="0" borderId="1" xfId="18" applyNumberFormat="1" applyFont="1" applyFill="1" applyBorder="1" applyAlignment="1" applyProtection="1">
      <alignment horizontal="right" vertical="center"/>
      <protection locked="0"/>
    </xf>
    <xf numFmtId="0" fontId="54" fillId="12" borderId="30" xfId="17" applyFont="1" applyFill="1" applyBorder="1" applyAlignment="1" applyProtection="1">
      <alignment horizontal="left" vertical="center" wrapText="1"/>
      <protection locked="0"/>
    </xf>
    <xf numFmtId="0" fontId="55" fillId="2" borderId="2" xfId="17" applyFont="1" applyFill="1" applyBorder="1" applyAlignment="1" applyProtection="1">
      <alignment horizontal="center" vertical="center"/>
      <protection locked="0"/>
    </xf>
    <xf numFmtId="0" fontId="54" fillId="0" borderId="30" xfId="17" applyFont="1" applyBorder="1" applyAlignment="1" applyProtection="1">
      <alignment vertical="center" wrapText="1"/>
      <protection locked="0"/>
    </xf>
    <xf numFmtId="0" fontId="54" fillId="2" borderId="30" xfId="17" applyFont="1" applyFill="1" applyBorder="1" applyAlignment="1" applyProtection="1">
      <alignment horizontal="left" vertical="center" wrapText="1"/>
      <protection locked="0"/>
    </xf>
    <xf numFmtId="0" fontId="55" fillId="0" borderId="2" xfId="17" applyFont="1" applyBorder="1" applyAlignment="1" applyProtection="1">
      <alignment horizontal="center" vertical="center"/>
      <protection locked="0"/>
    </xf>
    <xf numFmtId="0" fontId="56" fillId="9" borderId="1" xfId="17" applyFont="1" applyFill="1" applyBorder="1" applyAlignment="1" applyProtection="1">
      <alignment horizontal="center" vertical="center"/>
      <protection locked="0"/>
    </xf>
    <xf numFmtId="0" fontId="52" fillId="9" borderId="30" xfId="17" applyFont="1" applyFill="1" applyBorder="1" applyAlignment="1" applyProtection="1">
      <alignment vertical="center" wrapText="1"/>
      <protection locked="0"/>
    </xf>
    <xf numFmtId="166" fontId="52" fillId="11" borderId="30" xfId="18" applyNumberFormat="1" applyFont="1" applyFill="1" applyBorder="1" applyAlignment="1" applyProtection="1">
      <alignment horizontal="right" vertical="center"/>
      <protection locked="0"/>
    </xf>
    <xf numFmtId="0" fontId="54" fillId="12" borderId="30" xfId="17" applyFont="1" applyFill="1" applyBorder="1" applyAlignment="1" applyProtection="1">
      <alignment vertical="top" wrapText="1"/>
      <protection locked="0"/>
    </xf>
    <xf numFmtId="0" fontId="52" fillId="11" borderId="20" xfId="17" applyFont="1" applyFill="1" applyBorder="1" applyAlignment="1" applyProtection="1">
      <alignment horizontal="center" vertical="center"/>
      <protection locked="0"/>
    </xf>
    <xf numFmtId="166" fontId="54" fillId="2" borderId="1" xfId="18" applyNumberFormat="1" applyFont="1" applyFill="1" applyBorder="1" applyAlignment="1" applyProtection="1">
      <alignment horizontal="right" vertical="center"/>
      <protection locked="0"/>
    </xf>
    <xf numFmtId="0" fontId="53" fillId="11" borderId="20" xfId="17" applyFont="1" applyFill="1" applyBorder="1" applyProtection="1">
      <alignment vertical="center"/>
      <protection locked="0"/>
    </xf>
    <xf numFmtId="43" fontId="54" fillId="9" borderId="1" xfId="1" applyFont="1" applyFill="1" applyBorder="1" applyAlignment="1" applyProtection="1">
      <alignment horizontal="right" vertical="center"/>
    </xf>
    <xf numFmtId="0" fontId="55" fillId="12" borderId="1" xfId="17" applyFont="1" applyFill="1" applyBorder="1" applyAlignment="1" applyProtection="1">
      <alignment horizontal="center" vertical="center"/>
      <protection locked="0"/>
    </xf>
    <xf numFmtId="0" fontId="58" fillId="12" borderId="1" xfId="17" applyFont="1" applyFill="1" applyBorder="1" applyAlignment="1" applyProtection="1">
      <alignment horizontal="center" vertical="center"/>
      <protection locked="0"/>
    </xf>
    <xf numFmtId="0" fontId="50" fillId="0" borderId="0" xfId="0" applyFont="1" applyAlignment="1">
      <alignment wrapText="1"/>
    </xf>
    <xf numFmtId="14" fontId="4" fillId="0" borderId="0" xfId="0" applyNumberFormat="1" applyFont="1"/>
    <xf numFmtId="0" fontId="4" fillId="2" borderId="63" xfId="0" applyFont="1" applyFill="1" applyBorder="1"/>
    <xf numFmtId="0" fontId="4" fillId="2" borderId="76" xfId="0" applyFont="1" applyFill="1" applyBorder="1" applyAlignment="1">
      <alignment wrapText="1"/>
    </xf>
    <xf numFmtId="0" fontId="4" fillId="0" borderId="10" xfId="0" applyFont="1" applyBorder="1" applyAlignment="1">
      <alignment horizontal="center"/>
    </xf>
    <xf numFmtId="0" fontId="4" fillId="0" borderId="11" xfId="0" applyFont="1" applyBorder="1" applyAlignment="1">
      <alignment horizontal="center" vertical="center" wrapText="1"/>
    </xf>
    <xf numFmtId="0" fontId="4" fillId="2" borderId="18" xfId="0" applyFont="1" applyFill="1" applyBorder="1"/>
    <xf numFmtId="0" fontId="34" fillId="2" borderId="35" xfId="0" applyFont="1" applyFill="1" applyBorder="1" applyAlignment="1">
      <alignment horizontal="center" wrapText="1"/>
    </xf>
    <xf numFmtId="0" fontId="4" fillId="0" borderId="1" xfId="0" applyFont="1" applyBorder="1" applyAlignment="1">
      <alignment horizontal="center"/>
    </xf>
    <xf numFmtId="0" fontId="4" fillId="0" borderId="19" xfId="0" applyFont="1" applyBorder="1" applyAlignment="1">
      <alignment horizontal="center" vertical="center" wrapText="1"/>
    </xf>
    <xf numFmtId="0" fontId="4" fillId="2" borderId="65" xfId="0" applyFont="1" applyFill="1" applyBorder="1"/>
    <xf numFmtId="0" fontId="34" fillId="2" borderId="0" xfId="0" applyFont="1" applyFill="1" applyAlignment="1">
      <alignment horizontal="center" wrapText="1"/>
    </xf>
    <xf numFmtId="0" fontId="4" fillId="2" borderId="0" xfId="0" applyFont="1" applyFill="1" applyAlignment="1">
      <alignment horizontal="center"/>
    </xf>
    <xf numFmtId="0" fontId="4" fillId="2" borderId="77" xfId="0" applyFont="1" applyFill="1" applyBorder="1" applyAlignment="1">
      <alignment horizontal="center" vertical="center" wrapText="1"/>
    </xf>
    <xf numFmtId="0" fontId="4" fillId="0" borderId="1" xfId="0" applyFont="1" applyBorder="1" applyAlignment="1">
      <alignment wrapText="1"/>
    </xf>
    <xf numFmtId="166" fontId="4" fillId="0" borderId="19" xfId="1" applyNumberFormat="1" applyFont="1" applyBorder="1"/>
    <xf numFmtId="0" fontId="51" fillId="0" borderId="1" xfId="0" applyFont="1" applyBorder="1" applyAlignment="1">
      <alignment horizontal="left" wrapText="1" indent="2"/>
    </xf>
    <xf numFmtId="164" fontId="18" fillId="4" borderId="1" xfId="6" applyBorder="1"/>
    <xf numFmtId="43" fontId="0" fillId="0" borderId="0" xfId="1" applyFont="1"/>
    <xf numFmtId="0" fontId="51" fillId="0" borderId="1" xfId="0" applyFont="1" applyBorder="1" applyAlignment="1">
      <alignment horizontal="left" vertical="top" wrapText="1" indent="2"/>
    </xf>
    <xf numFmtId="166" fontId="4" fillId="0" borderId="1" xfId="1" applyNumberFormat="1" applyFont="1" applyBorder="1" applyAlignment="1"/>
    <xf numFmtId="166" fontId="4" fillId="0" borderId="1" xfId="1" applyNumberFormat="1" applyFont="1" applyBorder="1" applyAlignment="1">
      <alignment vertical="top"/>
    </xf>
    <xf numFmtId="0" fontId="34" fillId="0" borderId="12" xfId="0" applyFont="1" applyBorder="1"/>
    <xf numFmtId="0" fontId="34" fillId="0" borderId="1" xfId="0" applyFont="1" applyBorder="1" applyAlignment="1">
      <alignment wrapText="1"/>
    </xf>
    <xf numFmtId="166" fontId="34" fillId="0" borderId="19" xfId="1" applyNumberFormat="1" applyFont="1" applyBorder="1"/>
    <xf numFmtId="0" fontId="3" fillId="2" borderId="65" xfId="0" applyFont="1" applyFill="1" applyBorder="1" applyAlignment="1">
      <alignment horizontal="left"/>
    </xf>
    <xf numFmtId="0" fontId="34" fillId="2" borderId="0" xfId="0" applyFont="1" applyFill="1" applyAlignment="1">
      <alignment vertical="top" wrapText="1"/>
    </xf>
    <xf numFmtId="166" fontId="4" fillId="2" borderId="0" xfId="1" applyNumberFormat="1" applyFont="1" applyFill="1" applyBorder="1"/>
    <xf numFmtId="166" fontId="4" fillId="2" borderId="0" xfId="1" applyNumberFormat="1" applyFont="1" applyFill="1" applyBorder="1" applyAlignment="1">
      <alignment vertical="center"/>
    </xf>
    <xf numFmtId="166" fontId="4" fillId="2" borderId="77" xfId="1" applyNumberFormat="1" applyFont="1" applyFill="1" applyBorder="1"/>
    <xf numFmtId="166" fontId="4" fillId="0" borderId="19" xfId="1" applyNumberFormat="1" applyFont="1" applyFill="1" applyBorder="1"/>
    <xf numFmtId="0" fontId="51" fillId="0" borderId="1" xfId="0" applyFont="1" applyBorder="1" applyAlignment="1">
      <alignment horizontal="left" wrapText="1" indent="4"/>
    </xf>
    <xf numFmtId="0" fontId="4" fillId="2" borderId="0" xfId="0" applyFont="1" applyFill="1" applyAlignment="1">
      <alignment wrapText="1"/>
    </xf>
    <xf numFmtId="0" fontId="4" fillId="2" borderId="0" xfId="0" applyFont="1" applyFill="1"/>
    <xf numFmtId="0" fontId="4" fillId="2" borderId="77" xfId="0" applyFont="1" applyFill="1" applyBorder="1"/>
    <xf numFmtId="0" fontId="34" fillId="0" borderId="26" xfId="0" applyFont="1" applyBorder="1"/>
    <xf numFmtId="0" fontId="34" fillId="0" borderId="27" xfId="0" applyFont="1" applyBorder="1" applyAlignment="1">
      <alignment wrapText="1"/>
    </xf>
    <xf numFmtId="164" fontId="18" fillId="4" borderId="41" xfId="6" applyBorder="1"/>
    <xf numFmtId="10" fontId="34" fillId="0" borderId="28" xfId="2" applyNumberFormat="1" applyFont="1" applyBorder="1"/>
    <xf numFmtId="0" fontId="59" fillId="0" borderId="0" xfId="5" applyFont="1"/>
    <xf numFmtId="0" fontId="60" fillId="0" borderId="0" xfId="0" applyFont="1"/>
    <xf numFmtId="14" fontId="60" fillId="0" borderId="0" xfId="0" applyNumberFormat="1" applyFont="1" applyAlignment="1">
      <alignment horizontal="left"/>
    </xf>
    <xf numFmtId="0" fontId="61" fillId="0" borderId="0" xfId="5" applyFont="1"/>
    <xf numFmtId="0" fontId="62" fillId="0" borderId="78" xfId="0" applyFont="1" applyBorder="1" applyAlignment="1">
      <alignment horizontal="left" vertical="center" wrapText="1"/>
    </xf>
    <xf numFmtId="0" fontId="62" fillId="0" borderId="79" xfId="0" applyFont="1" applyBorder="1" applyAlignment="1">
      <alignment horizontal="left" vertical="center" wrapText="1"/>
    </xf>
    <xf numFmtId="0" fontId="63" fillId="0" borderId="3" xfId="0" applyFont="1" applyBorder="1" applyAlignment="1">
      <alignment horizontal="center" vertical="center" wrapText="1"/>
    </xf>
    <xf numFmtId="0" fontId="63" fillId="0" borderId="4" xfId="0" applyFont="1" applyBorder="1" applyAlignment="1">
      <alignment horizontal="center" vertical="center" wrapText="1"/>
    </xf>
    <xf numFmtId="0" fontId="63" fillId="0" borderId="80" xfId="0" applyFont="1" applyBorder="1" applyAlignment="1">
      <alignment horizontal="center" vertical="center" wrapText="1"/>
    </xf>
    <xf numFmtId="0" fontId="62" fillId="0" borderId="81" xfId="0" applyFont="1" applyBorder="1" applyAlignment="1">
      <alignment horizontal="left" vertical="center" wrapText="1"/>
    </xf>
    <xf numFmtId="0" fontId="62" fillId="0" borderId="82" xfId="0" applyFont="1" applyBorder="1" applyAlignment="1">
      <alignment horizontal="left" vertical="center" wrapText="1"/>
    </xf>
    <xf numFmtId="0" fontId="63" fillId="0" borderId="15" xfId="0" applyFont="1" applyBorder="1" applyAlignment="1">
      <alignment horizontal="center" vertical="center" wrapText="1"/>
    </xf>
    <xf numFmtId="0" fontId="63" fillId="0" borderId="16" xfId="0" applyFont="1" applyBorder="1" applyAlignment="1">
      <alignment horizontal="center" vertical="center" wrapText="1"/>
    </xf>
    <xf numFmtId="0" fontId="63" fillId="0" borderId="35" xfId="0" applyFont="1" applyBorder="1" applyAlignment="1">
      <alignment horizontal="center" vertical="center" wrapText="1"/>
    </xf>
    <xf numFmtId="0" fontId="62" fillId="0" borderId="83" xfId="0" applyFont="1" applyBorder="1" applyAlignment="1">
      <alignment horizontal="left" vertical="center" wrapText="1"/>
    </xf>
    <xf numFmtId="0" fontId="62" fillId="0" borderId="84" xfId="0" applyFont="1" applyBorder="1" applyAlignment="1">
      <alignment horizontal="left" vertical="center" wrapText="1"/>
    </xf>
    <xf numFmtId="0" fontId="63" fillId="0" borderId="1" xfId="0" applyFont="1" applyBorder="1" applyAlignment="1">
      <alignment horizontal="center" vertical="center" wrapText="1"/>
    </xf>
    <xf numFmtId="49" fontId="64" fillId="2" borderId="1" xfId="13" applyNumberFormat="1" applyFont="1" applyFill="1" applyBorder="1" applyAlignment="1" applyProtection="1">
      <alignment horizontal="right" vertical="center"/>
      <protection locked="0"/>
    </xf>
    <xf numFmtId="0" fontId="64" fillId="2" borderId="1" xfId="11" applyFont="1" applyFill="1" applyBorder="1" applyAlignment="1" applyProtection="1">
      <alignment horizontal="left" vertical="center" wrapText="1"/>
      <protection locked="0"/>
    </xf>
    <xf numFmtId="43" fontId="60" fillId="0" borderId="1" xfId="1" applyFont="1" applyFill="1" applyBorder="1"/>
    <xf numFmtId="43" fontId="60" fillId="0" borderId="1" xfId="1" applyFont="1" applyBorder="1"/>
    <xf numFmtId="0" fontId="60" fillId="0" borderId="1" xfId="0" applyFont="1" applyBorder="1"/>
    <xf numFmtId="43" fontId="60" fillId="0" borderId="0" xfId="0" applyNumberFormat="1" applyFont="1"/>
    <xf numFmtId="49" fontId="64" fillId="0" borderId="1" xfId="13" applyNumberFormat="1" applyFont="1" applyBorder="1" applyAlignment="1" applyProtection="1">
      <alignment horizontal="right" vertical="center"/>
      <protection locked="0"/>
    </xf>
    <xf numFmtId="0" fontId="64" fillId="0" borderId="1" xfId="11" applyFont="1" applyBorder="1" applyAlignment="1" applyProtection="1">
      <alignment horizontal="left" vertical="center" wrapText="1"/>
      <protection locked="0"/>
    </xf>
    <xf numFmtId="2" fontId="60" fillId="0" borderId="1" xfId="0" applyNumberFormat="1" applyFont="1" applyBorder="1"/>
    <xf numFmtId="0" fontId="66" fillId="0" borderId="1" xfId="11" applyFont="1" applyBorder="1" applyAlignment="1" applyProtection="1">
      <alignment horizontal="left" vertical="center" wrapText="1"/>
      <protection locked="0"/>
    </xf>
    <xf numFmtId="43" fontId="60" fillId="0" borderId="1" xfId="0" applyNumberFormat="1" applyFont="1" applyBorder="1"/>
    <xf numFmtId="49" fontId="67" fillId="0" borderId="1" xfId="13" applyNumberFormat="1" applyFont="1" applyBorder="1" applyAlignment="1" applyProtection="1">
      <alignment horizontal="right" vertical="center"/>
      <protection locked="0"/>
    </xf>
    <xf numFmtId="0" fontId="63" fillId="0" borderId="1" xfId="0" applyFont="1" applyBorder="1" applyAlignment="1">
      <alignment vertical="top" wrapText="1"/>
    </xf>
    <xf numFmtId="0" fontId="60" fillId="0" borderId="0" xfId="0" applyFont="1" applyAlignment="1">
      <alignment horizontal="left" vertical="top" wrapText="1"/>
    </xf>
    <xf numFmtId="0" fontId="59" fillId="0" borderId="0" xfId="0" applyFont="1"/>
    <xf numFmtId="0" fontId="59" fillId="0" borderId="0" xfId="0" applyFont="1" applyAlignment="1">
      <alignment wrapText="1"/>
    </xf>
    <xf numFmtId="0" fontId="59" fillId="0" borderId="1" xfId="0" applyFont="1" applyBorder="1" applyAlignment="1">
      <alignment horizontal="center" vertical="center"/>
    </xf>
    <xf numFmtId="0" fontId="59" fillId="0" borderId="1" xfId="0" applyFont="1" applyBorder="1" applyAlignment="1">
      <alignment horizontal="center" vertical="center" wrapText="1"/>
    </xf>
    <xf numFmtId="0" fontId="59" fillId="0" borderId="2" xfId="0" applyFont="1" applyBorder="1" applyAlignment="1">
      <alignment horizontal="center" vertical="center" wrapText="1"/>
    </xf>
    <xf numFmtId="0" fontId="59" fillId="0" borderId="1" xfId="0" applyFont="1" applyBorder="1" applyAlignment="1">
      <alignment horizontal="center" vertical="center" wrapText="1"/>
    </xf>
    <xf numFmtId="0" fontId="59" fillId="0" borderId="2" xfId="0" applyFont="1" applyBorder="1" applyAlignment="1">
      <alignment horizontal="center" vertical="center" wrapText="1"/>
    </xf>
    <xf numFmtId="0" fontId="59" fillId="0" borderId="29" xfId="0" applyFont="1" applyBorder="1" applyAlignment="1">
      <alignment horizontal="center" vertical="center" wrapText="1"/>
    </xf>
    <xf numFmtId="49" fontId="64" fillId="2" borderId="1" xfId="13" applyNumberFormat="1" applyFont="1" applyFill="1" applyBorder="1" applyAlignment="1" applyProtection="1">
      <alignment horizontal="right" vertical="center" wrapText="1"/>
      <protection locked="0"/>
    </xf>
    <xf numFmtId="43" fontId="59" fillId="0" borderId="1" xfId="1" applyFont="1" applyBorder="1"/>
    <xf numFmtId="43" fontId="59" fillId="0" borderId="1" xfId="1" applyFont="1" applyFill="1" applyBorder="1"/>
    <xf numFmtId="0" fontId="59" fillId="0" borderId="1" xfId="0" applyFont="1" applyBorder="1"/>
    <xf numFmtId="171" fontId="59" fillId="7" borderId="1" xfId="21" applyFont="1" applyFill="1" applyBorder="1"/>
    <xf numFmtId="43" fontId="59" fillId="0" borderId="1" xfId="1" applyFont="1" applyBorder="1" applyAlignment="1">
      <alignment horizontal="right"/>
    </xf>
    <xf numFmtId="0" fontId="59" fillId="0" borderId="1" xfId="0" applyFont="1" applyBorder="1" applyAlignment="1">
      <alignment horizontal="right"/>
    </xf>
    <xf numFmtId="49" fontId="64" fillId="0" borderId="1" xfId="13" applyNumberFormat="1" applyFont="1" applyBorder="1" applyAlignment="1" applyProtection="1">
      <alignment horizontal="right" vertical="center" wrapText="1"/>
      <protection locked="0"/>
    </xf>
    <xf numFmtId="43" fontId="59" fillId="0" borderId="1" xfId="1" applyFont="1" applyFill="1" applyBorder="1" applyAlignment="1">
      <alignment horizontal="right"/>
    </xf>
    <xf numFmtId="49" fontId="67" fillId="0" borderId="1" xfId="13" applyNumberFormat="1" applyFont="1" applyBorder="1" applyAlignment="1" applyProtection="1">
      <alignment horizontal="right" vertical="center" wrapText="1"/>
      <protection locked="0"/>
    </xf>
    <xf numFmtId="0" fontId="62" fillId="0" borderId="1" xfId="0" applyFont="1" applyBorder="1"/>
    <xf numFmtId="43" fontId="62" fillId="0" borderId="1" xfId="1" applyFont="1" applyBorder="1" applyAlignment="1">
      <alignment horizontal="right"/>
    </xf>
    <xf numFmtId="0" fontId="63" fillId="0" borderId="0" xfId="0" applyFont="1"/>
    <xf numFmtId="0" fontId="59" fillId="0" borderId="1" xfId="0" applyFont="1" applyBorder="1" applyAlignment="1">
      <alignment wrapText="1"/>
    </xf>
    <xf numFmtId="0" fontId="59" fillId="0" borderId="1" xfId="0" applyFont="1" applyBorder="1" applyAlignment="1">
      <alignment vertical="top" wrapText="1"/>
    </xf>
    <xf numFmtId="166" fontId="59" fillId="0" borderId="1" xfId="1" applyNumberFormat="1" applyFont="1" applyFill="1" applyBorder="1" applyAlignment="1">
      <alignment horizontal="right"/>
    </xf>
    <xf numFmtId="0" fontId="59" fillId="0" borderId="1" xfId="0" applyFont="1" applyBorder="1" applyAlignment="1">
      <alignment horizontal="left" indent="8"/>
    </xf>
    <xf numFmtId="0" fontId="60" fillId="0" borderId="0" xfId="0" applyFont="1" applyAlignment="1">
      <alignment wrapText="1"/>
    </xf>
    <xf numFmtId="0" fontId="59" fillId="0" borderId="20" xfId="0" applyFont="1" applyBorder="1" applyAlignment="1">
      <alignment horizontal="center" vertical="center" wrapText="1"/>
    </xf>
    <xf numFmtId="0" fontId="59" fillId="0" borderId="30" xfId="0" applyFont="1" applyBorder="1" applyAlignment="1">
      <alignment horizontal="center" vertical="center" wrapText="1"/>
    </xf>
    <xf numFmtId="9" fontId="60" fillId="0" borderId="0" xfId="0" applyNumberFormat="1" applyFont="1"/>
    <xf numFmtId="0" fontId="59" fillId="0" borderId="1" xfId="0" applyFont="1" applyBorder="1" applyAlignment="1">
      <alignment horizontal="left" vertical="center" wrapText="1"/>
    </xf>
    <xf numFmtId="43" fontId="62" fillId="0" borderId="1" xfId="1" applyFont="1" applyBorder="1"/>
    <xf numFmtId="43" fontId="62" fillId="0" borderId="1" xfId="0" applyNumberFormat="1" applyFont="1" applyBorder="1"/>
    <xf numFmtId="0" fontId="65" fillId="0" borderId="0" xfId="0" applyFont="1"/>
    <xf numFmtId="43" fontId="65" fillId="0" borderId="0" xfId="0" applyNumberFormat="1" applyFont="1"/>
    <xf numFmtId="166" fontId="60" fillId="0" borderId="0" xfId="1" applyNumberFormat="1" applyFont="1"/>
    <xf numFmtId="0" fontId="70" fillId="0" borderId="1" xfId="0" applyFont="1" applyBorder="1" applyAlignment="1">
      <alignment horizontal="center" vertical="center"/>
    </xf>
    <xf numFmtId="0" fontId="62" fillId="0" borderId="1" xfId="0" applyFont="1" applyBorder="1" applyAlignment="1">
      <alignment horizontal="left" indent="1"/>
    </xf>
    <xf numFmtId="0" fontId="62" fillId="0" borderId="1" xfId="0" applyFont="1" applyBorder="1" applyAlignment="1">
      <alignment horizontal="left" wrapText="1" indent="1"/>
    </xf>
    <xf numFmtId="43" fontId="63" fillId="0" borderId="1" xfId="1" applyFont="1" applyBorder="1"/>
    <xf numFmtId="0" fontId="59" fillId="0" borderId="1" xfId="0" applyFont="1" applyBorder="1" applyAlignment="1">
      <alignment horizontal="left" indent="1"/>
    </xf>
    <xf numFmtId="0" fontId="59" fillId="0" borderId="1" xfId="0" applyFont="1" applyBorder="1" applyAlignment="1">
      <alignment horizontal="left" indent="3"/>
    </xf>
    <xf numFmtId="0" fontId="59" fillId="0" borderId="1" xfId="0" applyFont="1" applyBorder="1" applyAlignment="1">
      <alignment horizontal="left" wrapText="1" indent="4"/>
    </xf>
    <xf numFmtId="0" fontId="59" fillId="0" borderId="1" xfId="0" applyFont="1" applyBorder="1" applyAlignment="1">
      <alignment horizontal="left" wrapText="1" indent="1"/>
    </xf>
    <xf numFmtId="0" fontId="62" fillId="0" borderId="1" xfId="0" applyFont="1" applyBorder="1" applyAlignment="1">
      <alignment horizontal="left" vertical="center" indent="1"/>
    </xf>
    <xf numFmtId="166" fontId="65" fillId="0" borderId="0" xfId="0" applyNumberFormat="1" applyFont="1"/>
    <xf numFmtId="0" fontId="60" fillId="0" borderId="0" xfId="0" applyFont="1" applyAlignment="1">
      <alignment vertical="top" wrapText="1"/>
    </xf>
    <xf numFmtId="0" fontId="61" fillId="0" borderId="3" xfId="0" applyFont="1" applyBorder="1" applyAlignment="1">
      <alignment horizontal="center" vertical="center"/>
    </xf>
    <xf numFmtId="0" fontId="61" fillId="0" borderId="80" xfId="0" applyFont="1" applyBorder="1" applyAlignment="1">
      <alignment horizontal="center" vertical="center"/>
    </xf>
    <xf numFmtId="0" fontId="62" fillId="0" borderId="1" xfId="0" applyFont="1" applyBorder="1" applyAlignment="1">
      <alignment horizontal="center" vertical="center" wrapText="1"/>
    </xf>
    <xf numFmtId="0" fontId="61" fillId="0" borderId="15" xfId="0" applyFont="1" applyBorder="1" applyAlignment="1">
      <alignment horizontal="center" vertical="center"/>
    </xf>
    <xf numFmtId="0" fontId="61" fillId="0" borderId="35" xfId="0" applyFont="1" applyBorder="1" applyAlignment="1">
      <alignment horizontal="center" vertical="center"/>
    </xf>
    <xf numFmtId="0" fontId="59" fillId="14" borderId="1" xfId="0" applyFont="1" applyFill="1" applyBorder="1"/>
    <xf numFmtId="0" fontId="59" fillId="0" borderId="1" xfId="0" applyFont="1" applyBorder="1" applyAlignment="1">
      <alignment horizontal="left" wrapText="1"/>
    </xf>
    <xf numFmtId="0" fontId="59" fillId="0" borderId="1" xfId="0" applyFont="1" applyBorder="1" applyAlignment="1">
      <alignment horizontal="left" wrapText="1" indent="2"/>
    </xf>
    <xf numFmtId="0" fontId="62" fillId="0" borderId="29" xfId="0" applyFont="1" applyBorder="1"/>
    <xf numFmtId="0" fontId="59" fillId="0" borderId="0" xfId="5" applyFont="1" applyAlignment="1">
      <alignment vertical="top" wrapText="1"/>
    </xf>
    <xf numFmtId="43" fontId="59" fillId="0" borderId="0" xfId="0" applyNumberFormat="1" applyFont="1"/>
    <xf numFmtId="0" fontId="59" fillId="0" borderId="0" xfId="0" applyFont="1" applyAlignment="1">
      <alignment horizontal="center" vertical="center"/>
    </xf>
    <xf numFmtId="0" fontId="59" fillId="0" borderId="0" xfId="0" applyFont="1" applyAlignment="1">
      <alignment horizontal="center"/>
    </xf>
    <xf numFmtId="0" fontId="62" fillId="0" borderId="3" xfId="0" applyFont="1" applyBorder="1" applyAlignment="1">
      <alignment horizontal="center" vertical="center" wrapText="1"/>
    </xf>
    <xf numFmtId="0" fontId="62" fillId="0" borderId="80" xfId="0" applyFont="1" applyBorder="1" applyAlignment="1">
      <alignment horizontal="center" vertical="center" wrapText="1"/>
    </xf>
    <xf numFmtId="0" fontId="59" fillId="0" borderId="21" xfId="0" applyFont="1" applyBorder="1" applyAlignment="1">
      <alignment horizontal="center" vertical="center" wrapText="1"/>
    </xf>
    <xf numFmtId="0" fontId="59" fillId="0" borderId="4" xfId="0" applyFont="1" applyBorder="1" applyAlignment="1">
      <alignment horizontal="center" vertical="center" wrapText="1"/>
    </xf>
    <xf numFmtId="0" fontId="59" fillId="0" borderId="30" xfId="0" applyFont="1" applyBorder="1" applyAlignment="1">
      <alignment horizontal="center" vertical="center" wrapText="1"/>
    </xf>
    <xf numFmtId="0" fontId="62" fillId="0" borderId="86" xfId="0" applyFont="1" applyBorder="1" applyAlignment="1">
      <alignment horizontal="center" vertical="center" wrapText="1"/>
    </xf>
    <xf numFmtId="0" fontId="62" fillId="0" borderId="34" xfId="0" applyFont="1" applyBorder="1" applyAlignment="1">
      <alignment horizontal="center" vertical="center" wrapText="1"/>
    </xf>
    <xf numFmtId="0" fontId="62" fillId="0" borderId="37" xfId="0" applyFont="1" applyBorder="1" applyAlignment="1">
      <alignment horizontal="center" vertical="center" wrapText="1"/>
    </xf>
    <xf numFmtId="0" fontId="59" fillId="0" borderId="37" xfId="0" applyFont="1" applyBorder="1" applyAlignment="1">
      <alignment horizontal="center" vertical="center" wrapText="1"/>
    </xf>
    <xf numFmtId="0" fontId="59" fillId="0" borderId="3" xfId="0" applyFont="1" applyBorder="1" applyAlignment="1">
      <alignment horizontal="center" vertical="center" wrapText="1"/>
    </xf>
    <xf numFmtId="0" fontId="59" fillId="0" borderId="4" xfId="0" applyFont="1" applyBorder="1" applyAlignment="1">
      <alignment horizontal="center" vertical="center" wrapText="1"/>
    </xf>
    <xf numFmtId="0" fontId="59" fillId="0" borderId="80" xfId="0" applyFont="1" applyBorder="1" applyAlignment="1">
      <alignment horizontal="center" vertical="center" wrapText="1"/>
    </xf>
    <xf numFmtId="0" fontId="59" fillId="0" borderId="0" xfId="0" applyFont="1" applyAlignment="1">
      <alignment horizontal="center" vertical="center" wrapText="1"/>
    </xf>
    <xf numFmtId="0" fontId="59" fillId="0" borderId="35" xfId="0" applyFont="1" applyBorder="1" applyAlignment="1">
      <alignment horizontal="center" vertical="center" wrapText="1"/>
    </xf>
    <xf numFmtId="0" fontId="59" fillId="0" borderId="3" xfId="0" applyFont="1" applyBorder="1" applyAlignment="1">
      <alignment horizontal="center" vertical="center" wrapText="1"/>
    </xf>
    <xf numFmtId="0" fontId="62" fillId="0" borderId="15" xfId="0" applyFont="1" applyBorder="1" applyAlignment="1">
      <alignment horizontal="center" vertical="center" wrapText="1"/>
    </xf>
    <xf numFmtId="0" fontId="62" fillId="0" borderId="35" xfId="0" applyFont="1" applyBorder="1" applyAlignment="1">
      <alignment horizontal="center" vertical="center" wrapText="1"/>
    </xf>
    <xf numFmtId="0" fontId="62" fillId="0" borderId="29" xfId="0" applyFont="1" applyBorder="1" applyAlignment="1">
      <alignment horizontal="center" vertical="center" wrapText="1"/>
    </xf>
    <xf numFmtId="0" fontId="59" fillId="0" borderId="29" xfId="0" applyFont="1" applyBorder="1" applyAlignment="1">
      <alignment wrapText="1"/>
    </xf>
    <xf numFmtId="0" fontId="59" fillId="0" borderId="15" xfId="0" applyFont="1" applyBorder="1" applyAlignment="1">
      <alignment wrapText="1"/>
    </xf>
    <xf numFmtId="0" fontId="59" fillId="0" borderId="35" xfId="0" applyFont="1" applyBorder="1" applyAlignment="1">
      <alignment horizontal="center" vertical="center" wrapText="1"/>
    </xf>
    <xf numFmtId="0" fontId="59" fillId="0" borderId="29" xfId="0" applyFont="1" applyBorder="1" applyAlignment="1">
      <alignment horizontal="center" vertical="center" wrapText="1"/>
    </xf>
    <xf numFmtId="0" fontId="59" fillId="0" borderId="1" xfId="0" applyFont="1" applyBorder="1" applyAlignment="1">
      <alignment horizontal="center"/>
    </xf>
    <xf numFmtId="0" fontId="62" fillId="0" borderId="1" xfId="0" applyFont="1" applyBorder="1" applyAlignment="1">
      <alignment vertical="top" wrapText="1"/>
    </xf>
    <xf numFmtId="0" fontId="62" fillId="8" borderId="1" xfId="0" applyFont="1" applyFill="1" applyBorder="1"/>
    <xf numFmtId="14" fontId="59" fillId="0" borderId="0" xfId="0" applyNumberFormat="1" applyFont="1"/>
    <xf numFmtId="0" fontId="62" fillId="0" borderId="63" xfId="0" applyFont="1" applyBorder="1" applyAlignment="1">
      <alignment horizontal="left" vertical="top" wrapText="1"/>
    </xf>
    <xf numFmtId="0" fontId="62" fillId="0" borderId="71" xfId="0" applyFont="1" applyBorder="1" applyAlignment="1">
      <alignment horizontal="left" vertical="top" wrapText="1"/>
    </xf>
    <xf numFmtId="0" fontId="59" fillId="0" borderId="63" xfId="0" applyFont="1" applyBorder="1" applyAlignment="1">
      <alignment horizontal="center" vertical="center" wrapText="1"/>
    </xf>
    <xf numFmtId="0" fontId="59" fillId="0" borderId="64" xfId="0" applyFont="1" applyBorder="1" applyAlignment="1">
      <alignment horizontal="center" vertical="center" wrapText="1"/>
    </xf>
    <xf numFmtId="0" fontId="59" fillId="0" borderId="71" xfId="0" applyFont="1" applyBorder="1" applyAlignment="1">
      <alignment horizontal="center" vertical="center" wrapText="1"/>
    </xf>
    <xf numFmtId="0" fontId="62" fillId="0" borderId="65" xfId="0" applyFont="1" applyBorder="1" applyAlignment="1">
      <alignment horizontal="left" vertical="top" wrapText="1"/>
    </xf>
    <xf numFmtId="0" fontId="62" fillId="0" borderId="77" xfId="0" applyFont="1" applyBorder="1" applyAlignment="1">
      <alignment horizontal="left" vertical="top" wrapText="1"/>
    </xf>
    <xf numFmtId="0" fontId="62" fillId="0" borderId="87" xfId="0" applyFont="1" applyBorder="1" applyAlignment="1">
      <alignment horizontal="center" vertical="center" wrapText="1"/>
    </xf>
    <xf numFmtId="0" fontId="59" fillId="0" borderId="19" xfId="0" applyFont="1" applyBorder="1" applyAlignment="1">
      <alignment horizontal="center" vertical="center" wrapText="1"/>
    </xf>
    <xf numFmtId="0" fontId="62" fillId="0" borderId="18" xfId="0" applyFont="1" applyBorder="1" applyAlignment="1">
      <alignment horizontal="left" vertical="top" wrapText="1"/>
    </xf>
    <xf numFmtId="0" fontId="62" fillId="0" borderId="17" xfId="0" applyFont="1" applyBorder="1" applyAlignment="1">
      <alignment horizontal="left" vertical="top" wrapText="1"/>
    </xf>
    <xf numFmtId="0" fontId="62" fillId="0" borderId="38" xfId="0" applyFont="1" applyBorder="1" applyAlignment="1">
      <alignment horizontal="center" vertical="center" wrapText="1"/>
    </xf>
    <xf numFmtId="49" fontId="59" fillId="0" borderId="12" xfId="0" applyNumberFormat="1" applyFont="1" applyBorder="1" applyAlignment="1">
      <alignment horizontal="left" wrapText="1" indent="2"/>
    </xf>
    <xf numFmtId="43" fontId="59" fillId="0" borderId="12" xfId="1" applyFont="1" applyBorder="1" applyAlignment="1">
      <alignment horizontal="left" vertical="center" wrapText="1" indent="2"/>
    </xf>
    <xf numFmtId="0" fontId="59" fillId="0" borderId="19" xfId="0" applyFont="1" applyBorder="1"/>
    <xf numFmtId="49" fontId="59" fillId="0" borderId="12" xfId="0" applyNumberFormat="1" applyFont="1" applyBorder="1" applyAlignment="1">
      <alignment horizontal="left" wrapText="1" indent="3"/>
    </xf>
    <xf numFmtId="49" fontId="59" fillId="0" borderId="19" xfId="0" applyNumberFormat="1" applyFont="1" applyBorder="1" applyAlignment="1">
      <alignment horizontal="left" wrapText="1" indent="2"/>
    </xf>
    <xf numFmtId="49" fontId="59" fillId="0" borderId="19" xfId="0" applyNumberFormat="1" applyFont="1" applyBorder="1" applyAlignment="1">
      <alignment horizontal="left" wrapText="1" indent="3"/>
    </xf>
    <xf numFmtId="0" fontId="59" fillId="0" borderId="12" xfId="0" applyFont="1" applyBorder="1" applyAlignment="1">
      <alignment horizontal="left" wrapText="1" indent="1"/>
    </xf>
    <xf numFmtId="49" fontId="59" fillId="0" borderId="19" xfId="0" applyNumberFormat="1" applyFont="1" applyBorder="1" applyAlignment="1">
      <alignment horizontal="left" wrapText="1" indent="1"/>
    </xf>
    <xf numFmtId="43" fontId="59" fillId="0" borderId="12" xfId="1" applyFont="1" applyBorder="1" applyAlignment="1">
      <alignment horizontal="left" wrapText="1" indent="1"/>
    </xf>
    <xf numFmtId="0" fontId="59" fillId="0" borderId="26" xfId="0" applyFont="1" applyBorder="1" applyAlignment="1">
      <alignment horizontal="left" wrapText="1" indent="1"/>
    </xf>
    <xf numFmtId="49" fontId="59" fillId="0" borderId="28" xfId="0" applyNumberFormat="1" applyFont="1" applyBorder="1" applyAlignment="1">
      <alignment vertical="top" wrapText="1"/>
    </xf>
    <xf numFmtId="43" fontId="59" fillId="0" borderId="26" xfId="1" applyFont="1" applyBorder="1" applyAlignment="1">
      <alignment horizontal="left" wrapText="1" indent="1"/>
    </xf>
    <xf numFmtId="43" fontId="59" fillId="0" borderId="27" xfId="1" applyFont="1" applyBorder="1"/>
    <xf numFmtId="0" fontId="59" fillId="0" borderId="27" xfId="0" applyFont="1" applyBorder="1"/>
    <xf numFmtId="0" fontId="59" fillId="0" borderId="28" xfId="0" applyFont="1" applyBorder="1"/>
    <xf numFmtId="0" fontId="59" fillId="0" borderId="3" xfId="0" applyFont="1" applyBorder="1" applyAlignment="1">
      <alignment horizontal="center" vertical="top" wrapText="1"/>
    </xf>
    <xf numFmtId="0" fontId="59" fillId="0" borderId="4" xfId="0" applyFont="1" applyBorder="1" applyAlignment="1">
      <alignment horizontal="center" vertical="top" wrapText="1"/>
    </xf>
    <xf numFmtId="0" fontId="59" fillId="0" borderId="21" xfId="0" applyFont="1" applyBorder="1" applyAlignment="1">
      <alignment horizontal="center" vertical="top" wrapText="1"/>
    </xf>
    <xf numFmtId="0" fontId="59" fillId="0" borderId="30" xfId="0" applyFont="1" applyBorder="1" applyAlignment="1">
      <alignment horizontal="center" vertical="top" wrapText="1"/>
    </xf>
    <xf numFmtId="0" fontId="62" fillId="0" borderId="34" xfId="0" applyFont="1" applyBorder="1" applyAlignment="1">
      <alignment horizontal="left" vertical="center" wrapText="1"/>
    </xf>
    <xf numFmtId="43" fontId="59" fillId="0" borderId="1" xfId="1" applyFont="1" applyBorder="1" applyAlignment="1">
      <alignment horizontal="left" vertical="center" wrapText="1"/>
    </xf>
    <xf numFmtId="0" fontId="62" fillId="0" borderId="1" xfId="0" applyFont="1" applyBorder="1" applyAlignment="1">
      <alignment horizontal="left" vertical="center" wrapText="1"/>
    </xf>
    <xf numFmtId="43" fontId="62" fillId="0" borderId="1" xfId="0" applyNumberFormat="1" applyFont="1" applyBorder="1" applyAlignment="1">
      <alignment horizontal="left" vertical="center" wrapText="1"/>
    </xf>
    <xf numFmtId="0" fontId="64" fillId="0" borderId="0" xfId="0" applyFont="1"/>
    <xf numFmtId="0" fontId="64" fillId="0" borderId="0" xfId="0" applyFont="1" applyAlignment="1">
      <alignment horizontal="center" vertical="center"/>
    </xf>
    <xf numFmtId="0" fontId="71" fillId="0" borderId="0" xfId="0" applyFont="1"/>
    <xf numFmtId="0" fontId="72" fillId="0" borderId="0" xfId="0" applyFont="1"/>
    <xf numFmtId="0" fontId="73" fillId="0" borderId="88" xfId="0" applyFont="1" applyBorder="1" applyAlignment="1">
      <alignment horizontal="left" vertical="top" wrapText="1"/>
    </xf>
    <xf numFmtId="0" fontId="73" fillId="0" borderId="89" xfId="0" applyFont="1" applyBorder="1" applyAlignment="1">
      <alignment horizontal="left" vertical="top" wrapText="1"/>
    </xf>
    <xf numFmtId="0" fontId="62" fillId="0" borderId="1" xfId="0" applyFont="1" applyBorder="1" applyAlignment="1">
      <alignment horizontal="center" vertical="center" wrapText="1"/>
    </xf>
    <xf numFmtId="43" fontId="71" fillId="0" borderId="0" xfId="0" applyNumberFormat="1" applyFont="1"/>
    <xf numFmtId="166" fontId="71" fillId="0" borderId="0" xfId="1" applyNumberFormat="1" applyFont="1"/>
    <xf numFmtId="43" fontId="64" fillId="0" borderId="1" xfId="1" applyFont="1" applyBorder="1"/>
    <xf numFmtId="43" fontId="64" fillId="0" borderId="1" xfId="1" applyFont="1" applyFill="1" applyBorder="1"/>
    <xf numFmtId="0" fontId="9" fillId="0" borderId="0" xfId="0" applyFont="1" applyAlignment="1">
      <alignment wrapText="1"/>
    </xf>
    <xf numFmtId="166" fontId="71" fillId="0" borderId="0" xfId="1" applyNumberFormat="1" applyFont="1" applyFill="1"/>
    <xf numFmtId="43" fontId="72" fillId="0" borderId="0" xfId="0" applyNumberFormat="1" applyFont="1"/>
    <xf numFmtId="0" fontId="72" fillId="0" borderId="0" xfId="0" applyFont="1" applyAlignment="1">
      <alignment vertical="top" wrapText="1"/>
    </xf>
    <xf numFmtId="0" fontId="74" fillId="0" borderId="0" xfId="0" applyFont="1"/>
    <xf numFmtId="0" fontId="67" fillId="0" borderId="1" xfId="0" applyFont="1" applyBorder="1" applyAlignment="1">
      <alignment horizontal="center" vertical="center"/>
    </xf>
    <xf numFmtId="0" fontId="64" fillId="0" borderId="2" xfId="0" applyFont="1" applyBorder="1" applyAlignment="1">
      <alignment horizontal="center" vertical="center" wrapText="1"/>
    </xf>
    <xf numFmtId="0" fontId="64" fillId="0" borderId="1" xfId="0" applyFont="1" applyBorder="1" applyAlignment="1">
      <alignment horizontal="center" vertical="center" wrapText="1"/>
    </xf>
    <xf numFmtId="0" fontId="74" fillId="0" borderId="29" xfId="0" applyFont="1" applyBorder="1"/>
    <xf numFmtId="0" fontId="64" fillId="0" borderId="1" xfId="0" applyFont="1" applyBorder="1" applyAlignment="1">
      <alignment horizontal="left" indent="2"/>
    </xf>
    <xf numFmtId="0" fontId="59" fillId="0" borderId="90" xfId="0" applyFont="1" applyBorder="1" applyAlignment="1">
      <alignment vertical="center" wrapText="1" readingOrder="1"/>
    </xf>
    <xf numFmtId="43" fontId="64" fillId="0" borderId="1" xfId="0" applyNumberFormat="1" applyFont="1" applyBorder="1"/>
    <xf numFmtId="0" fontId="64" fillId="0" borderId="1" xfId="0" applyFont="1" applyBorder="1"/>
    <xf numFmtId="9" fontId="64" fillId="0" borderId="1" xfId="0" applyNumberFormat="1" applyFont="1" applyBorder="1"/>
    <xf numFmtId="0" fontId="59" fillId="0" borderId="91" xfId="0" applyFont="1" applyBorder="1" applyAlignment="1">
      <alignment vertical="center" wrapText="1" readingOrder="1"/>
    </xf>
    <xf numFmtId="0" fontId="74" fillId="8" borderId="0" xfId="0" applyFont="1" applyFill="1"/>
    <xf numFmtId="0" fontId="74" fillId="13" borderId="0" xfId="0" applyFont="1" applyFill="1"/>
    <xf numFmtId="0" fontId="64" fillId="0" borderId="2" xfId="0" applyFont="1" applyBorder="1" applyAlignment="1">
      <alignment horizontal="left" indent="2"/>
    </xf>
    <xf numFmtId="0" fontId="59" fillId="0" borderId="92" xfId="0" applyFont="1" applyBorder="1" applyAlignment="1">
      <alignment vertical="center" wrapText="1" readingOrder="1"/>
    </xf>
    <xf numFmtId="43" fontId="64" fillId="0" borderId="2" xfId="1" applyFont="1" applyBorder="1"/>
    <xf numFmtId="0" fontId="62" fillId="0" borderId="1" xfId="0" applyFont="1" applyBorder="1" applyAlignment="1">
      <alignment vertical="center" wrapText="1" readingOrder="1"/>
    </xf>
    <xf numFmtId="0" fontId="64" fillId="0" borderId="1" xfId="0" applyFont="1" applyBorder="1" applyAlignment="1">
      <alignment horizontal="left" indent="3"/>
    </xf>
    <xf numFmtId="0" fontId="59" fillId="0" borderId="91" xfId="0" applyFont="1" applyBorder="1" applyAlignment="1">
      <alignment horizontal="left" vertical="center" wrapText="1" indent="1" readingOrder="1"/>
    </xf>
    <xf numFmtId="0" fontId="74" fillId="0" borderId="0" xfId="0" applyFont="1" applyAlignment="1">
      <alignment vertical="top" wrapText="1"/>
    </xf>
    <xf numFmtId="43" fontId="74" fillId="0" borderId="0" xfId="0" applyNumberFormat="1" applyFont="1"/>
    <xf numFmtId="9" fontId="2" fillId="0" borderId="0" xfId="2" applyFont="1"/>
    <xf numFmtId="10" fontId="2" fillId="0" borderId="0" xfId="2" applyNumberFormat="1" applyFont="1"/>
    <xf numFmtId="43" fontId="2" fillId="0" borderId="0" xfId="1" applyFont="1"/>
    <xf numFmtId="166" fontId="2" fillId="0" borderId="0" xfId="1" applyNumberFormat="1" applyFont="1" applyFill="1"/>
    <xf numFmtId="43" fontId="29" fillId="0" borderId="0" xfId="1" applyFont="1" applyFill="1"/>
    <xf numFmtId="0" fontId="3" fillId="0" borderId="0" xfId="0" applyFont="1" applyFill="1"/>
    <xf numFmtId="0" fontId="9" fillId="0" borderId="12" xfId="0" applyFont="1" applyBorder="1" applyAlignment="1">
      <alignment vertical="top"/>
    </xf>
    <xf numFmtId="0" fontId="8" fillId="0" borderId="1" xfId="11" applyFont="1" applyFill="1" applyBorder="1" applyAlignment="1" applyProtection="1">
      <alignment vertical="center" wrapText="1"/>
      <protection locked="0"/>
    </xf>
    <xf numFmtId="0" fontId="4" fillId="0" borderId="0" xfId="0" applyFont="1" applyFill="1"/>
    <xf numFmtId="166" fontId="21" fillId="0" borderId="0" xfId="1" applyNumberFormat="1" applyFont="1" applyFill="1"/>
    <xf numFmtId="165" fontId="4" fillId="0" borderId="0" xfId="0" applyNumberFormat="1" applyFont="1" applyFill="1"/>
    <xf numFmtId="3" fontId="4" fillId="0" borderId="0" xfId="0" applyNumberFormat="1" applyFont="1" applyFill="1"/>
    <xf numFmtId="38" fontId="4" fillId="0" borderId="0" xfId="0" applyNumberFormat="1" applyFont="1" applyFill="1"/>
    <xf numFmtId="166" fontId="42" fillId="0" borderId="0" xfId="1" applyNumberFormat="1" applyFont="1" applyFill="1"/>
    <xf numFmtId="0" fontId="33" fillId="0" borderId="0" xfId="0" applyFont="1" applyFill="1"/>
    <xf numFmtId="166" fontId="41" fillId="0" borderId="0" xfId="1" applyNumberFormat="1" applyFont="1" applyFill="1"/>
    <xf numFmtId="168" fontId="54" fillId="0" borderId="1" xfId="18" applyNumberFormat="1" applyFont="1" applyFill="1" applyBorder="1" applyAlignment="1" applyProtection="1">
      <alignment horizontal="right" vertical="center"/>
      <protection locked="0"/>
    </xf>
    <xf numFmtId="0" fontId="2" fillId="0" borderId="0" xfId="0" applyFont="1" applyFill="1"/>
    <xf numFmtId="43" fontId="2" fillId="0" borderId="0" xfId="0" applyNumberFormat="1" applyFont="1" applyFill="1"/>
    <xf numFmtId="166" fontId="2" fillId="0" borderId="0" xfId="0" applyNumberFormat="1" applyFont="1" applyFill="1"/>
    <xf numFmtId="0" fontId="0" fillId="0" borderId="0" xfId="0" applyFill="1"/>
    <xf numFmtId="0" fontId="60" fillId="0" borderId="0" xfId="0" applyFont="1" applyFill="1"/>
    <xf numFmtId="43" fontId="65" fillId="0" borderId="0" xfId="0" applyNumberFormat="1" applyFont="1" applyFill="1"/>
    <xf numFmtId="43" fontId="60" fillId="0" borderId="0" xfId="0" applyNumberFormat="1" applyFont="1" applyFill="1"/>
    <xf numFmtId="0" fontId="65" fillId="0" borderId="0" xfId="0" applyFont="1" applyFill="1" applyAlignment="1">
      <alignment horizontal="right"/>
    </xf>
    <xf numFmtId="166" fontId="65" fillId="0" borderId="0" xfId="1" applyNumberFormat="1" applyFont="1" applyFill="1"/>
    <xf numFmtId="3" fontId="60" fillId="0" borderId="0" xfId="0" applyNumberFormat="1" applyFont="1" applyFill="1"/>
    <xf numFmtId="0" fontId="65" fillId="0" borderId="0" xfId="0" applyFont="1" applyFill="1"/>
    <xf numFmtId="166" fontId="68" fillId="0" borderId="0" xfId="1" applyNumberFormat="1" applyFont="1" applyFill="1"/>
    <xf numFmtId="43" fontId="63" fillId="0" borderId="0" xfId="1" applyFont="1" applyFill="1"/>
    <xf numFmtId="43" fontId="60" fillId="0" borderId="0" xfId="1" applyFont="1" applyFill="1"/>
    <xf numFmtId="43" fontId="59" fillId="0" borderId="1" xfId="0" applyNumberFormat="1" applyFont="1" applyFill="1" applyBorder="1" applyAlignment="1">
      <alignment horizontal="right"/>
    </xf>
    <xf numFmtId="0" fontId="59" fillId="0" borderId="1" xfId="0" applyFont="1" applyFill="1" applyBorder="1"/>
    <xf numFmtId="166" fontId="59" fillId="0" borderId="1" xfId="1" applyNumberFormat="1" applyFont="1" applyFill="1" applyBorder="1"/>
    <xf numFmtId="0" fontId="59" fillId="0" borderId="1" xfId="0" applyFont="1" applyFill="1" applyBorder="1" applyAlignment="1">
      <alignment horizontal="right"/>
    </xf>
    <xf numFmtId="43" fontId="62" fillId="0" borderId="1" xfId="1" applyFont="1" applyFill="1" applyBorder="1" applyAlignment="1">
      <alignment horizontal="right"/>
    </xf>
    <xf numFmtId="0" fontId="62" fillId="0" borderId="1" xfId="0" applyFont="1" applyFill="1" applyBorder="1" applyAlignment="1">
      <alignment horizontal="right"/>
    </xf>
    <xf numFmtId="0" fontId="62" fillId="0" borderId="1" xfId="0" applyFont="1" applyFill="1" applyBorder="1"/>
    <xf numFmtId="166" fontId="62" fillId="0" borderId="1" xfId="1" applyNumberFormat="1" applyFont="1" applyFill="1" applyBorder="1"/>
    <xf numFmtId="43" fontId="63" fillId="0" borderId="1" xfId="1" applyFont="1" applyFill="1" applyBorder="1"/>
    <xf numFmtId="43" fontId="62" fillId="0" borderId="1" xfId="1" applyFont="1" applyFill="1" applyBorder="1"/>
    <xf numFmtId="43" fontId="59" fillId="0" borderId="0" xfId="1" applyFont="1" applyFill="1"/>
    <xf numFmtId="43" fontId="68" fillId="0" borderId="0" xfId="0" applyNumberFormat="1" applyFont="1" applyFill="1"/>
    <xf numFmtId="0" fontId="59" fillId="0" borderId="0" xfId="0" applyFont="1" applyFill="1"/>
    <xf numFmtId="43" fontId="59" fillId="0" borderId="0" xfId="0" applyNumberFormat="1" applyFont="1" applyFill="1"/>
    <xf numFmtId="0" fontId="69" fillId="0" borderId="85" xfId="0" applyFont="1" applyFill="1" applyBorder="1"/>
    <xf numFmtId="43" fontId="62" fillId="0" borderId="1" xfId="1" applyFont="1" applyFill="1" applyBorder="1" applyAlignment="1">
      <alignment horizontal="left" indent="1"/>
    </xf>
    <xf numFmtId="43" fontId="62" fillId="0" borderId="1" xfId="0" applyNumberFormat="1" applyFont="1" applyFill="1" applyBorder="1"/>
    <xf numFmtId="166" fontId="62" fillId="0" borderId="1" xfId="0" applyNumberFormat="1" applyFont="1" applyFill="1" applyBorder="1"/>
    <xf numFmtId="166" fontId="59" fillId="0" borderId="1" xfId="1" applyNumberFormat="1" applyFont="1" applyFill="1" applyBorder="1" applyAlignment="1">
      <alignment horizontal="left" indent="1"/>
    </xf>
    <xf numFmtId="0" fontId="59" fillId="0" borderId="1" xfId="0" applyFont="1" applyFill="1" applyBorder="1" applyAlignment="1">
      <alignment horizontal="left" indent="1"/>
    </xf>
    <xf numFmtId="0" fontId="59" fillId="0" borderId="38" xfId="0" applyFont="1" applyFill="1" applyBorder="1"/>
    <xf numFmtId="0" fontId="62" fillId="0" borderId="42" xfId="0" applyFont="1" applyFill="1" applyBorder="1"/>
    <xf numFmtId="43" fontId="62" fillId="0" borderId="38" xfId="0" applyNumberFormat="1" applyFont="1" applyFill="1" applyBorder="1"/>
    <xf numFmtId="0" fontId="59" fillId="0" borderId="19" xfId="0" applyFont="1" applyFill="1" applyBorder="1"/>
    <xf numFmtId="0" fontId="59" fillId="0" borderId="12" xfId="0" applyFont="1" applyFill="1" applyBorder="1" applyAlignment="1">
      <alignment horizontal="left" indent="1"/>
    </xf>
    <xf numFmtId="0" fontId="59" fillId="0" borderId="19" xfId="0" applyFont="1" applyFill="1" applyBorder="1" applyAlignment="1">
      <alignment horizontal="left" indent="1"/>
    </xf>
    <xf numFmtId="43" fontId="59" fillId="0" borderId="12" xfId="1" applyFont="1" applyFill="1" applyBorder="1" applyAlignment="1">
      <alignment horizontal="center"/>
    </xf>
    <xf numFmtId="0" fontId="59" fillId="0" borderId="12" xfId="0" applyFont="1" applyFill="1" applyBorder="1" applyAlignment="1">
      <alignment horizontal="left" indent="2"/>
    </xf>
    <xf numFmtId="0" fontId="59" fillId="0" borderId="19" xfId="0" applyFont="1" applyFill="1" applyBorder="1" applyAlignment="1">
      <alignment horizontal="left" indent="2"/>
    </xf>
    <xf numFmtId="43" fontId="59" fillId="0" borderId="12" xfId="1" applyFont="1" applyFill="1" applyBorder="1" applyAlignment="1">
      <alignment horizontal="right" indent="2"/>
    </xf>
    <xf numFmtId="49" fontId="59" fillId="0" borderId="12" xfId="0" applyNumberFormat="1" applyFont="1" applyFill="1" applyBorder="1" applyAlignment="1">
      <alignment horizontal="left" indent="3"/>
    </xf>
    <xf numFmtId="49" fontId="59" fillId="0" borderId="19" xfId="0" applyNumberFormat="1" applyFont="1" applyFill="1" applyBorder="1" applyAlignment="1">
      <alignment horizontal="left" indent="3"/>
    </xf>
    <xf numFmtId="43" fontId="59" fillId="0" borderId="12" xfId="1" applyFont="1" applyFill="1" applyBorder="1" applyAlignment="1">
      <alignment horizontal="left" indent="3"/>
    </xf>
    <xf numFmtId="49" fontId="59" fillId="0" borderId="12" xfId="0" applyNumberFormat="1" applyFont="1" applyFill="1" applyBorder="1" applyAlignment="1">
      <alignment horizontal="left" indent="1"/>
    </xf>
    <xf numFmtId="49" fontId="59" fillId="0" borderId="19" xfId="0" applyNumberFormat="1" applyFont="1" applyFill="1" applyBorder="1" applyAlignment="1">
      <alignment horizontal="left" indent="1"/>
    </xf>
    <xf numFmtId="43" fontId="59" fillId="0" borderId="12" xfId="1" applyFont="1" applyFill="1" applyBorder="1" applyAlignment="1">
      <alignment horizontal="left" indent="1"/>
    </xf>
    <xf numFmtId="43" fontId="59" fillId="0" borderId="12" xfId="1" applyFont="1" applyFill="1" applyBorder="1"/>
    <xf numFmtId="49" fontId="59" fillId="0" borderId="12" xfId="0" applyNumberFormat="1" applyFont="1" applyFill="1" applyBorder="1" applyAlignment="1">
      <alignment horizontal="left" wrapText="1" indent="2"/>
    </xf>
    <xf numFmtId="49" fontId="59" fillId="0" borderId="19" xfId="0" applyNumberFormat="1" applyFont="1" applyFill="1" applyBorder="1" applyAlignment="1">
      <alignment horizontal="left" vertical="top" wrapText="1" indent="2"/>
    </xf>
    <xf numFmtId="43" fontId="59" fillId="0" borderId="12" xfId="1" applyFont="1" applyFill="1" applyBorder="1" applyAlignment="1">
      <alignment horizontal="left" vertical="center" wrapText="1" indent="2"/>
    </xf>
    <xf numFmtId="49" fontId="59" fillId="0" borderId="12" xfId="0" applyNumberFormat="1" applyFont="1" applyFill="1" applyBorder="1" applyAlignment="1">
      <alignment horizontal="left" wrapText="1" indent="3"/>
    </xf>
    <xf numFmtId="49" fontId="59" fillId="0" borderId="19" xfId="0" applyNumberFormat="1" applyFont="1" applyFill="1" applyBorder="1" applyAlignment="1">
      <alignment horizontal="left" wrapText="1" indent="3"/>
    </xf>
    <xf numFmtId="43" fontId="59" fillId="0" borderId="1" xfId="1" applyFont="1" applyFill="1" applyBorder="1" applyAlignment="1">
      <alignment horizontal="left" vertical="center" wrapText="1"/>
    </xf>
    <xf numFmtId="0" fontId="64" fillId="0" borderId="1" xfId="0" applyFont="1" applyFill="1" applyBorder="1" applyAlignment="1">
      <alignment horizontal="left" indent="3"/>
    </xf>
    <xf numFmtId="0" fontId="59" fillId="0" borderId="91" xfId="0" applyFont="1" applyFill="1" applyBorder="1" applyAlignment="1">
      <alignment horizontal="left" vertical="center" wrapText="1" indent="1" readingOrder="1"/>
    </xf>
    <xf numFmtId="0" fontId="64" fillId="0" borderId="1" xfId="0" applyFont="1" applyFill="1" applyBorder="1"/>
    <xf numFmtId="9" fontId="64" fillId="0" borderId="1" xfId="0" applyNumberFormat="1" applyFont="1" applyFill="1" applyBorder="1"/>
  </cellXfs>
  <cellStyles count="22">
    <cellStyle name="=C:\WINNT35\SYSTEM32\COMMAND.COM" xfId="17" xr:uid="{560FD5CE-EFA7-453B-AE38-644D97CE45D7}"/>
    <cellStyle name="1Normal 2" xfId="6" xr:uid="{DA465DEA-EF8D-4969-A91C-2E88F2C1738D}"/>
    <cellStyle name="Comma" xfId="1" builtinId="3"/>
    <cellStyle name="Comma 10" xfId="18" xr:uid="{633AE091-6A8E-4F06-B066-7CDCF04B00DF}"/>
    <cellStyle name="Comma 10 12" xfId="19" xr:uid="{E08B3A2D-4470-435E-996F-F5978591DC03}"/>
    <cellStyle name="Comma 111" xfId="21" xr:uid="{96FDD4D0-6846-4F3D-A6B5-EAAC17E8DE3C}"/>
    <cellStyle name="Comma 2" xfId="15" xr:uid="{7D44D97F-83A0-49AA-A3E2-7A0513EA8BC5}"/>
    <cellStyle name="Comma 3" xfId="10" xr:uid="{F469A301-F790-4C50-9308-C0774EFEF87D}"/>
    <cellStyle name="Hyperlink" xfId="3" builtinId="8"/>
    <cellStyle name="Normal" xfId="0" builtinId="0"/>
    <cellStyle name="Normal 10 2" xfId="20" xr:uid="{DAFF8CE5-23C7-471F-A7BD-5609077D3964}"/>
    <cellStyle name="Normal 121 2" xfId="12" xr:uid="{15007112-0F07-41FC-AB82-322DBE487C02}"/>
    <cellStyle name="Normal 122" xfId="4" xr:uid="{206849F5-B4F8-4241-9B9C-0EF03D560D89}"/>
    <cellStyle name="Normal 123" xfId="7" xr:uid="{F1C1D022-F994-4752-A597-46A77D30DDAB}"/>
    <cellStyle name="Normal 2" xfId="5" xr:uid="{2A2B97C5-81D6-4843-8B0A-934F49124DC9}"/>
    <cellStyle name="Normal 2 2" xfId="13" xr:uid="{A493CE06-5080-4F7E-B0CC-81C0CD366BBD}"/>
    <cellStyle name="Normal 4" xfId="11" xr:uid="{2A1D07A9-6269-4412-BF76-4DE526D62A3A}"/>
    <cellStyle name="Normal_Capital &amp; RWA N" xfId="8" xr:uid="{79E39A9F-84E1-4F3C-86B8-F47E90FA4436}"/>
    <cellStyle name="Normal_Capital &amp; RWA N 2" xfId="14" xr:uid="{6007151A-9850-4C01-B826-F9D4C825F0A7}"/>
    <cellStyle name="Normal_Casestdy draft" xfId="16" xr:uid="{E5684E23-448D-4BDA-ABE1-B07D74EF5F34}"/>
    <cellStyle name="Normal_Casestdy draft 2" xfId="9" xr:uid="{A0F1CAD7-E88E-41D6-A57C-9BFBC21E5878}"/>
    <cellStyle name="Percent" xfId="2" builtinId="5"/>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C000"/>
      </font>
      <fill>
        <patternFill>
          <bgColor rgb="FFFF0000"/>
        </patternFill>
      </fill>
    </dxf>
    <dxf>
      <font>
        <b/>
        <i val="0"/>
        <color rgb="FFFFC000"/>
      </font>
      <fill>
        <patternFill>
          <bgColor rgb="FFFF0000"/>
        </patternFill>
      </fill>
    </dxf>
    <dxf>
      <font>
        <b/>
        <i val="0"/>
        <color rgb="FFFFC00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6324600</xdr:colOff>
      <xdr:row>6</xdr:row>
      <xdr:rowOff>561975</xdr:rowOff>
    </xdr:to>
    <xdr:cxnSp macro="">
      <xdr:nvCxnSpPr>
        <xdr:cNvPr id="2" name="Straight Connector 1">
          <a:extLst>
            <a:ext uri="{FF2B5EF4-FFF2-40B4-BE49-F238E27FC236}">
              <a16:creationId xmlns:a16="http://schemas.microsoft.com/office/drawing/2014/main" id="{0A840EF6-E257-49FB-B152-58F3507BAC0D}"/>
            </a:ext>
          </a:extLst>
        </xdr:cNvPr>
        <xdr:cNvCxnSpPr/>
      </xdr:nvCxnSpPr>
      <xdr:spPr>
        <a:xfrm>
          <a:off x="704850" y="1162050"/>
          <a:ext cx="632460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kbank.g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BC7A3-09E5-4D95-A71E-7F5CD3859F4F}">
  <dimension ref="A1:C35"/>
  <sheetViews>
    <sheetView zoomScaleNormal="85" workbookViewId="0">
      <pane xSplit="1" ySplit="7" topLeftCell="B8" activePane="bottomRight" state="frozen"/>
      <selection activeCell="I31" sqref="I31:L31"/>
      <selection pane="topRight" activeCell="I31" sqref="I31:L31"/>
      <selection pane="bottomLeft" activeCell="I31" sqref="I31:L31"/>
      <selection pane="bottomRight" activeCell="C25" sqref="C25"/>
    </sheetView>
  </sheetViews>
  <sheetFormatPr defaultRowHeight="15" x14ac:dyDescent="0.25"/>
  <cols>
    <col min="1" max="1" width="10.28515625" style="22" customWidth="1"/>
    <col min="2" max="2" width="153" bestFit="1" customWidth="1"/>
    <col min="3" max="3" width="39.42578125" customWidth="1"/>
    <col min="7" max="7" width="62.140625" customWidth="1"/>
  </cols>
  <sheetData>
    <row r="1" spans="1:3" ht="15.75" x14ac:dyDescent="0.3">
      <c r="A1" s="1"/>
      <c r="B1" s="2" t="s">
        <v>0</v>
      </c>
      <c r="C1" s="3"/>
    </row>
    <row r="2" spans="1:3" s="7" customFormat="1" ht="15.75" x14ac:dyDescent="0.3">
      <c r="A2" s="4">
        <v>1</v>
      </c>
      <c r="B2" s="5" t="s">
        <v>1</v>
      </c>
      <c r="C2" s="6" t="s">
        <v>2</v>
      </c>
    </row>
    <row r="3" spans="1:3" s="7" customFormat="1" ht="15.75" x14ac:dyDescent="0.3">
      <c r="A3" s="4">
        <v>2</v>
      </c>
      <c r="B3" s="8" t="s">
        <v>3</v>
      </c>
      <c r="C3" s="6" t="s">
        <v>4</v>
      </c>
    </row>
    <row r="4" spans="1:3" s="7" customFormat="1" ht="40.5" customHeight="1" x14ac:dyDescent="0.3">
      <c r="A4" s="4">
        <v>3</v>
      </c>
      <c r="B4" s="8" t="s">
        <v>5</v>
      </c>
      <c r="C4" s="6" t="s">
        <v>6</v>
      </c>
    </row>
    <row r="5" spans="1:3" s="7" customFormat="1" ht="15.75" x14ac:dyDescent="0.3">
      <c r="A5" s="9">
        <v>4</v>
      </c>
      <c r="B5" s="10" t="s">
        <v>7</v>
      </c>
      <c r="C5" s="11" t="s">
        <v>8</v>
      </c>
    </row>
    <row r="6" spans="1:3" s="14" customFormat="1" ht="65.25" customHeight="1" x14ac:dyDescent="0.3">
      <c r="A6" s="12" t="s">
        <v>9</v>
      </c>
      <c r="B6" s="13"/>
      <c r="C6" s="13"/>
    </row>
    <row r="7" spans="1:3" x14ac:dyDescent="0.25">
      <c r="A7" s="15" t="s">
        <v>10</v>
      </c>
      <c r="B7" s="2" t="s">
        <v>11</v>
      </c>
    </row>
    <row r="8" spans="1:3" x14ac:dyDescent="0.25">
      <c r="A8" s="1">
        <v>1</v>
      </c>
      <c r="B8" s="16" t="s">
        <v>12</v>
      </c>
    </row>
    <row r="9" spans="1:3" x14ac:dyDescent="0.25">
      <c r="A9" s="1">
        <v>2</v>
      </c>
      <c r="B9" s="16" t="s">
        <v>13</v>
      </c>
    </row>
    <row r="10" spans="1:3" x14ac:dyDescent="0.25">
      <c r="A10" s="1">
        <v>3</v>
      </c>
      <c r="B10" s="16" t="s">
        <v>14</v>
      </c>
    </row>
    <row r="11" spans="1:3" x14ac:dyDescent="0.25">
      <c r="A11" s="1">
        <v>4</v>
      </c>
      <c r="B11" s="16" t="s">
        <v>15</v>
      </c>
    </row>
    <row r="12" spans="1:3" x14ac:dyDescent="0.25">
      <c r="A12" s="1">
        <v>5</v>
      </c>
      <c r="B12" s="16" t="s">
        <v>16</v>
      </c>
    </row>
    <row r="13" spans="1:3" x14ac:dyDescent="0.25">
      <c r="A13" s="1">
        <v>6</v>
      </c>
      <c r="B13" s="17" t="s">
        <v>17</v>
      </c>
    </row>
    <row r="14" spans="1:3" x14ac:dyDescent="0.25">
      <c r="A14" s="1">
        <v>7</v>
      </c>
      <c r="B14" s="16" t="s">
        <v>18</v>
      </c>
    </row>
    <row r="15" spans="1:3" x14ac:dyDescent="0.25">
      <c r="A15" s="1">
        <v>8</v>
      </c>
      <c r="B15" s="16" t="s">
        <v>19</v>
      </c>
    </row>
    <row r="16" spans="1:3" x14ac:dyDescent="0.25">
      <c r="A16" s="1">
        <v>9</v>
      </c>
      <c r="B16" s="16" t="s">
        <v>20</v>
      </c>
    </row>
    <row r="17" spans="1:2" x14ac:dyDescent="0.25">
      <c r="A17" s="18" t="s">
        <v>21</v>
      </c>
      <c r="B17" s="16" t="s">
        <v>22</v>
      </c>
    </row>
    <row r="18" spans="1:2" x14ac:dyDescent="0.25">
      <c r="A18" s="1">
        <v>10</v>
      </c>
      <c r="B18" s="16" t="s">
        <v>23</v>
      </c>
    </row>
    <row r="19" spans="1:2" x14ac:dyDescent="0.25">
      <c r="A19" s="1">
        <v>11</v>
      </c>
      <c r="B19" s="17" t="s">
        <v>24</v>
      </c>
    </row>
    <row r="20" spans="1:2" x14ac:dyDescent="0.25">
      <c r="A20" s="1">
        <v>12</v>
      </c>
      <c r="B20" s="17" t="s">
        <v>25</v>
      </c>
    </row>
    <row r="21" spans="1:2" x14ac:dyDescent="0.25">
      <c r="A21" s="1">
        <v>13</v>
      </c>
      <c r="B21" s="19" t="s">
        <v>26</v>
      </c>
    </row>
    <row r="22" spans="1:2" x14ac:dyDescent="0.25">
      <c r="A22" s="1">
        <v>14</v>
      </c>
      <c r="B22" s="20" t="s">
        <v>27</v>
      </c>
    </row>
    <row r="23" spans="1:2" x14ac:dyDescent="0.25">
      <c r="A23" s="1">
        <v>15</v>
      </c>
      <c r="B23" s="16" t="s">
        <v>28</v>
      </c>
    </row>
    <row r="24" spans="1:2" x14ac:dyDescent="0.25">
      <c r="A24" s="1">
        <v>15.1</v>
      </c>
      <c r="B24" s="16" t="s">
        <v>29</v>
      </c>
    </row>
    <row r="25" spans="1:2" x14ac:dyDescent="0.25">
      <c r="A25" s="1">
        <v>16</v>
      </c>
      <c r="B25" s="16" t="s">
        <v>30</v>
      </c>
    </row>
    <row r="26" spans="1:2" x14ac:dyDescent="0.25">
      <c r="A26" s="1">
        <v>17</v>
      </c>
      <c r="B26" s="16" t="s">
        <v>31</v>
      </c>
    </row>
    <row r="27" spans="1:2" x14ac:dyDescent="0.25">
      <c r="A27" s="1">
        <v>18</v>
      </c>
      <c r="B27" s="16" t="s">
        <v>32</v>
      </c>
    </row>
    <row r="28" spans="1:2" x14ac:dyDescent="0.25">
      <c r="A28" s="1">
        <v>19</v>
      </c>
      <c r="B28" s="16" t="s">
        <v>33</v>
      </c>
    </row>
    <row r="29" spans="1:2" x14ac:dyDescent="0.25">
      <c r="A29" s="1">
        <v>20</v>
      </c>
      <c r="B29" s="16" t="s">
        <v>34</v>
      </c>
    </row>
    <row r="30" spans="1:2" x14ac:dyDescent="0.25">
      <c r="A30" s="1">
        <v>21</v>
      </c>
      <c r="B30" s="16" t="s">
        <v>35</v>
      </c>
    </row>
    <row r="31" spans="1:2" x14ac:dyDescent="0.25">
      <c r="A31" s="1">
        <v>22</v>
      </c>
      <c r="B31" s="16" t="s">
        <v>36</v>
      </c>
    </row>
    <row r="32" spans="1:2" ht="25.5" x14ac:dyDescent="0.25">
      <c r="A32" s="1">
        <v>23</v>
      </c>
      <c r="B32" s="21" t="s">
        <v>37</v>
      </c>
    </row>
    <row r="33" spans="1:2" x14ac:dyDescent="0.25">
      <c r="A33" s="1">
        <v>24</v>
      </c>
      <c r="B33" s="16" t="s">
        <v>38</v>
      </c>
    </row>
    <row r="34" spans="1:2" x14ac:dyDescent="0.25">
      <c r="A34" s="1">
        <v>25</v>
      </c>
      <c r="B34" s="16" t="s">
        <v>39</v>
      </c>
    </row>
    <row r="35" spans="1:2" x14ac:dyDescent="0.25">
      <c r="A35" s="1">
        <v>26</v>
      </c>
      <c r="B35" s="16" t="s">
        <v>40</v>
      </c>
    </row>
  </sheetData>
  <mergeCells count="1">
    <mergeCell ref="A6:C6"/>
  </mergeCells>
  <hyperlinks>
    <hyperlink ref="B8" location="'1. key ratios'!A1" display="ცხრილი 1: ძირითადი მაჩვენებლები" xr:uid="{12F98A14-5A62-468E-88B6-C11B02096A24}"/>
    <hyperlink ref="B9" location="'2. SOFP'!A1" display="საბალანსო უწყისი" xr:uid="{E3F6C99E-A46C-4797-8F9E-651DF81DE869}"/>
    <hyperlink ref="B10" location="'3. SOPL'!A1" display="მოგება-ზარალის ანგარიშგება" xr:uid="{09DACD1B-03A6-45A2-AE62-6345DB1CA1F6}"/>
    <hyperlink ref="B11" location="'4. Off-Balance'!A1" display="ბალანსგარეშე ანგარიშების უწყისი " xr:uid="{560F7620-C433-4EEB-A593-60ABB80C81CE}"/>
    <hyperlink ref="B12" location="'5. RWA'!A1" display="ცხრილი 5: რისკის მიხედვით შეწონილი რისკის პოზიციები" xr:uid="{D89C2F4B-ADBF-4EB9-938F-78CB86331668}"/>
    <hyperlink ref="B14" location="'7. LI1'!A1" display="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 xr:uid="{1974D71B-A0FC-4CC0-8BD9-F0631330B776}"/>
    <hyperlink ref="B13" location="'6. Administrators-shareholders'!A1" display="ინფორმაცია ბანკის სამეთვალყურეო საბჭოს, დირექტორატის და აქციონერთა შესახებ" xr:uid="{3B8DA189-3104-42A0-BC72-0A822C0CC376}"/>
    <hyperlink ref="B15" location="'8. LI2'!A1" display="ცხრილი 8: საზედამხედველო რისკის პოზიციების სიდიდესა და ფინანსური ანგარიშგების საბალანსო ღირებულებებს შორის განსხვავებების მთავარი წყარო" xr:uid="{D8C586A6-56EB-48C8-8DCB-9F150FAB17C8}"/>
    <hyperlink ref="B16" location="'9. Capital'!A1" display="ცხრილი 9: საზედამხედველო კაპიტალი" xr:uid="{E4C5FEC1-9800-49BB-99E9-6A05E99FE615}"/>
    <hyperlink ref="B18" location="'10. CC2'!A1" display="ცხრილი 10: კავშირი საზედამხედველო კაპიტალსა და ფინანსური მდგომარეობის ანგარიშგებას შორის" xr:uid="{44944AED-47DA-4C3C-9E4E-D8EE1E00AD8C}"/>
    <hyperlink ref="B20" location="'12. CRM'!A1" display="საკრედიტო რისკის მიტიგაცია" xr:uid="{D3359A63-010B-407E-9F79-026766B3CAF9}"/>
    <hyperlink ref="B19" location="'11. CRWA'!A1" display="საკრედიტო რისკის მიხედვით შეწონილი რისკის პოზიციები" xr:uid="{E151E282-3DAC-4232-946B-21B206419158}"/>
    <hyperlink ref="B21" location="'13. CRME'!A1" display="სტანდარტიზებული მიდგომა - საკრედიტო რისკი საკრედიტო რისკის მიტიგაციის ეფექტი" xr:uid="{8C5FC571-DC29-4C92-82F7-FB5164E3D7CF}"/>
    <hyperlink ref="B23" location="'15. CCR'!A1" display="კონტრაგენტთან დაკავშირებული საკრედიტო რისკის მიხედვით შეწონილი რისკის პოზიციები" xr:uid="{7B150DED-5E7E-49F7-86A7-DABF48DA6B13}"/>
    <hyperlink ref="B22" location="'14. LCR'!A1" display="ლიკვიდობის გადაფარვის კოეფიციენტი" xr:uid="{079F08CA-F3F7-423F-9F47-93388F67E4CB}"/>
    <hyperlink ref="B17" location="'9.1. Capital Requirements'!A1" display="კაპიტალის ადეკვატურობის მოთხოვნები" xr:uid="{8AFBCB82-46B6-4C8E-B932-F557DF1645E4}"/>
    <hyperlink ref="B24" location="'15.1. LR'!A1" display="ლევერიჯის კოეფიციენტი" xr:uid="{451E1E31-B852-49AA-988E-CEADFF8CD23C}"/>
    <hyperlink ref="B25" location="'16. NSFR'!A1" display="წმინდა სტაბილური დაფინანსების კოეფიციენტი" xr:uid="{BDFB6F9D-9192-4668-96D0-ECF6B83FA50A}"/>
    <hyperlink ref="B26" location="' 17. Residual Maturity'!A1" display="რისკის პოზიციის ღირებულება ნარჩენი ვადიანობის  და რისკის კლასების მიხედვით" xr:uid="{7ADCD2E1-A432-4084-B19C-BC2F6A1D254D}"/>
    <hyperlink ref="B27" location="'18. Assets by Exposure classes'!A1" display="აქტივების მთლიანი ღირებულების, საბალანსო ღირებულების, აქტივებზე რეზერვების, ჩამოწერების და რეზერვის ხარჯის განაწილება რისკის კლასების მიხედვით" xr:uid="{EC299B71-4D97-48D9-94AB-B040718E76B7}"/>
    <hyperlink ref="B28" location="'19. Assets by Risk Sectors'!A1" display="აქტივების მთლიანი ღირებულების, საბალანსო ღირებულების, აქტივებზე რეზერვების, ჩამოწერების და რეზერვის ხარჯის განაწილება დაფარვის წყაროს სექტორების მიხედვით" xr:uid="{ECBB6AC4-BE84-4076-85DF-93991A0CBD36}"/>
    <hyperlink ref="B30" location="'21. NPL'!A1" display="უმოქმედო სესხების ცვლილება" xr:uid="{D0D57311-F5D6-4CD2-853D-A7DE83CA6382}"/>
    <hyperlink ref="B31" location="'22. Quality'!A1" display="სესხების, სავალო ფასიანი ქაღალდების და გარესაბალანსო ვალდებულებების განაწილება, კლასიფიკაციის, ვადაგადაცილების და მსესხებლის ტიპის მიხედვით" xr:uid="{B9DB19F1-898C-4B01-9748-1E924205E0B3}"/>
    <hyperlink ref="B32" location="'23. LTV'!A1" display="სესხების,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 xr:uid="{DC7D9A7C-22BE-4531-9635-78E03C14012C}"/>
    <hyperlink ref="B33" location="'24. Risk Sector'!A1" display="სესხების და სესხებზე რეზერვის განაწილება, დაფარვის წყაროს სექტორების და კლასიფიკაციის მიხედვით" xr:uid="{E9FB41B4-B4A2-4F39-8F82-258492E98B34}"/>
    <hyperlink ref="B34" location="'25. Collateral'!A1" display="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 xr:uid="{A1320AC8-454B-4D63-A59B-F2306FAF6AF9}"/>
    <hyperlink ref="B29" location="'20. Reserves'!A1" display="რეზერვის ცვლილება სესხებზე და კორპორატიულ სავალო ფასიანი ქაღალდებზე" xr:uid="{3967B2F2-5A7C-4B9F-B330-BDF28B4205A2}"/>
    <hyperlink ref="B35" location="'26. Retail Products'!A1" display="ზოგადი ინფორმაცია საცალო პროდუქტებზე" xr:uid="{84B4F8BE-83D1-4E5C-9B6E-493D0E5D1E5F}"/>
    <hyperlink ref="C5" r:id="rId1" xr:uid="{7DB2AD3C-3B66-4910-AA81-E54BAD41518D}"/>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71F0A-3334-415C-AED8-99A71527C49F}">
  <dimension ref="A1:F58"/>
  <sheetViews>
    <sheetView zoomScaleNormal="100" workbookViewId="0">
      <pane xSplit="1" ySplit="5" topLeftCell="B31" activePane="bottomRight" state="frozen"/>
      <selection activeCell="J35" sqref="J35"/>
      <selection pane="topRight" activeCell="J35" sqref="J35"/>
      <selection pane="bottomLeft" activeCell="J35" sqref="J35"/>
      <selection pane="bottomRight" activeCell="C6" sqref="C6:C53"/>
    </sheetView>
  </sheetViews>
  <sheetFormatPr defaultRowHeight="15" x14ac:dyDescent="0.25"/>
  <cols>
    <col min="1" max="1" width="9.5703125" style="22" bestFit="1" customWidth="1"/>
    <col min="2" max="2" width="132.42578125" style="22" customWidth="1"/>
    <col min="3" max="3" width="18.42578125" style="22" customWidth="1"/>
    <col min="5" max="5" width="13.7109375" style="274" bestFit="1" customWidth="1"/>
    <col min="6" max="6" width="14.42578125" bestFit="1" customWidth="1"/>
    <col min="7" max="7" width="10" customWidth="1"/>
  </cols>
  <sheetData>
    <row r="1" spans="1:6" ht="15.75" x14ac:dyDescent="0.3">
      <c r="A1" s="23" t="s">
        <v>41</v>
      </c>
      <c r="B1" s="25" t="str">
        <f>Info!C2</f>
        <v>სს სილქ ბანკი</v>
      </c>
      <c r="D1" s="22"/>
      <c r="E1" s="322"/>
      <c r="F1" s="22"/>
    </row>
    <row r="2" spans="1:6" s="23" customFormat="1" ht="15.75" customHeight="1" x14ac:dyDescent="0.3">
      <c r="A2" s="23" t="s">
        <v>42</v>
      </c>
      <c r="B2" s="26">
        <f>'1. key ratios'!B2</f>
        <v>45291</v>
      </c>
      <c r="E2" s="275"/>
    </row>
    <row r="3" spans="1:6" s="23" customFormat="1" ht="15.75" customHeight="1" x14ac:dyDescent="0.3">
      <c r="E3" s="275"/>
    </row>
    <row r="4" spans="1:6" ht="40.5" customHeight="1" thickBot="1" x14ac:dyDescent="0.3">
      <c r="A4" s="22" t="s">
        <v>308</v>
      </c>
      <c r="B4" s="323" t="s">
        <v>20</v>
      </c>
    </row>
    <row r="5" spans="1:6" x14ac:dyDescent="0.25">
      <c r="A5" s="324" t="s">
        <v>46</v>
      </c>
      <c r="B5" s="325"/>
      <c r="C5" s="326" t="s">
        <v>94</v>
      </c>
    </row>
    <row r="6" spans="1:6" x14ac:dyDescent="0.25">
      <c r="A6" s="327">
        <v>1</v>
      </c>
      <c r="B6" s="328" t="s">
        <v>309</v>
      </c>
      <c r="C6" s="329">
        <f>SUM(C7:C11)</f>
        <v>58023476.738932326</v>
      </c>
      <c r="E6" s="305"/>
    </row>
    <row r="7" spans="1:6" x14ac:dyDescent="0.25">
      <c r="A7" s="327">
        <v>2</v>
      </c>
      <c r="B7" s="330" t="s">
        <v>310</v>
      </c>
      <c r="C7" s="331">
        <v>71733200</v>
      </c>
      <c r="E7" s="305"/>
    </row>
    <row r="8" spans="1:6" x14ac:dyDescent="0.25">
      <c r="A8" s="327">
        <v>3</v>
      </c>
      <c r="B8" s="332" t="s">
        <v>311</v>
      </c>
      <c r="C8" s="331"/>
      <c r="E8" s="305"/>
    </row>
    <row r="9" spans="1:6" x14ac:dyDescent="0.25">
      <c r="A9" s="327">
        <v>4</v>
      </c>
      <c r="B9" s="332" t="s">
        <v>312</v>
      </c>
      <c r="C9" s="331"/>
      <c r="E9" s="305"/>
    </row>
    <row r="10" spans="1:6" x14ac:dyDescent="0.25">
      <c r="A10" s="327">
        <v>5</v>
      </c>
      <c r="B10" s="332" t="s">
        <v>313</v>
      </c>
      <c r="C10" s="331">
        <v>3985507.7298158458</v>
      </c>
      <c r="E10" s="305"/>
    </row>
    <row r="11" spans="1:6" x14ac:dyDescent="0.25">
      <c r="A11" s="327">
        <v>6</v>
      </c>
      <c r="B11" s="333" t="s">
        <v>314</v>
      </c>
      <c r="C11" s="331">
        <v>-17695230.990883514</v>
      </c>
      <c r="E11" s="305"/>
    </row>
    <row r="12" spans="1:6" s="261" customFormat="1" x14ac:dyDescent="0.25">
      <c r="A12" s="327">
        <v>7</v>
      </c>
      <c r="B12" s="328" t="s">
        <v>315</v>
      </c>
      <c r="C12" s="334">
        <f>SUM(C13:C28)</f>
        <v>5105992.7698158473</v>
      </c>
      <c r="E12" s="305"/>
    </row>
    <row r="13" spans="1:6" s="261" customFormat="1" x14ac:dyDescent="0.25">
      <c r="A13" s="327">
        <v>8</v>
      </c>
      <c r="B13" s="335" t="s">
        <v>316</v>
      </c>
      <c r="C13" s="336">
        <v>3985507.7298158458</v>
      </c>
      <c r="E13" s="305"/>
    </row>
    <row r="14" spans="1:6" s="261" customFormat="1" ht="25.5" x14ac:dyDescent="0.25">
      <c r="A14" s="327">
        <v>9</v>
      </c>
      <c r="B14" s="337" t="s">
        <v>317</v>
      </c>
      <c r="C14" s="336"/>
      <c r="E14" s="305"/>
    </row>
    <row r="15" spans="1:6" s="261" customFormat="1" x14ac:dyDescent="0.25">
      <c r="A15" s="327">
        <v>10</v>
      </c>
      <c r="B15" s="338" t="s">
        <v>116</v>
      </c>
      <c r="C15" s="336">
        <v>1120485.0400000012</v>
      </c>
      <c r="E15" s="305"/>
    </row>
    <row r="16" spans="1:6" s="261" customFormat="1" x14ac:dyDescent="0.25">
      <c r="A16" s="327">
        <v>11</v>
      </c>
      <c r="B16" s="339" t="s">
        <v>318</v>
      </c>
      <c r="C16" s="336"/>
      <c r="E16" s="305"/>
    </row>
    <row r="17" spans="1:6" s="261" customFormat="1" x14ac:dyDescent="0.25">
      <c r="A17" s="327">
        <v>12</v>
      </c>
      <c r="B17" s="338" t="s">
        <v>319</v>
      </c>
      <c r="C17" s="336"/>
      <c r="E17" s="305"/>
    </row>
    <row r="18" spans="1:6" s="261" customFormat="1" x14ac:dyDescent="0.25">
      <c r="A18" s="327">
        <v>13</v>
      </c>
      <c r="B18" s="338" t="s">
        <v>320</v>
      </c>
      <c r="C18" s="336"/>
      <c r="E18" s="305"/>
    </row>
    <row r="19" spans="1:6" s="261" customFormat="1" x14ac:dyDescent="0.25">
      <c r="A19" s="327">
        <v>14</v>
      </c>
      <c r="B19" s="338" t="s">
        <v>321</v>
      </c>
      <c r="C19" s="336"/>
      <c r="E19" s="305"/>
    </row>
    <row r="20" spans="1:6" s="261" customFormat="1" ht="25.5" x14ac:dyDescent="0.25">
      <c r="A20" s="327">
        <v>15</v>
      </c>
      <c r="B20" s="338" t="s">
        <v>322</v>
      </c>
      <c r="C20" s="336"/>
      <c r="E20" s="305"/>
    </row>
    <row r="21" spans="1:6" s="261" customFormat="1" ht="25.5" x14ac:dyDescent="0.25">
      <c r="A21" s="327">
        <v>16</v>
      </c>
      <c r="B21" s="337" t="s">
        <v>323</v>
      </c>
      <c r="C21" s="336"/>
      <c r="E21" s="305"/>
    </row>
    <row r="22" spans="1:6" s="261" customFormat="1" x14ac:dyDescent="0.25">
      <c r="A22" s="327">
        <v>17</v>
      </c>
      <c r="B22" s="340" t="s">
        <v>324</v>
      </c>
      <c r="C22" s="336"/>
      <c r="E22" s="305"/>
    </row>
    <row r="23" spans="1:6" s="261" customFormat="1" x14ac:dyDescent="0.25">
      <c r="A23" s="327">
        <v>18</v>
      </c>
      <c r="B23" s="341" t="s">
        <v>325</v>
      </c>
      <c r="C23" s="336"/>
      <c r="E23" s="305"/>
    </row>
    <row r="24" spans="1:6" s="261" customFormat="1" ht="25.5" x14ac:dyDescent="0.25">
      <c r="A24" s="327">
        <v>19</v>
      </c>
      <c r="B24" s="337" t="s">
        <v>326</v>
      </c>
      <c r="C24" s="336"/>
      <c r="E24" s="305"/>
    </row>
    <row r="25" spans="1:6" s="261" customFormat="1" ht="25.5" x14ac:dyDescent="0.25">
      <c r="A25" s="327">
        <v>20</v>
      </c>
      <c r="B25" s="337" t="s">
        <v>327</v>
      </c>
      <c r="C25" s="336"/>
      <c r="E25" s="305"/>
    </row>
    <row r="26" spans="1:6" s="261" customFormat="1" ht="25.5" x14ac:dyDescent="0.25">
      <c r="A26" s="327">
        <v>21</v>
      </c>
      <c r="B26" s="339" t="s">
        <v>328</v>
      </c>
      <c r="C26" s="336"/>
      <c r="E26" s="305"/>
    </row>
    <row r="27" spans="1:6" s="261" customFormat="1" x14ac:dyDescent="0.25">
      <c r="A27" s="327">
        <v>22</v>
      </c>
      <c r="B27" s="339" t="s">
        <v>329</v>
      </c>
      <c r="C27" s="336"/>
      <c r="E27" s="305"/>
    </row>
    <row r="28" spans="1:6" s="261" customFormat="1" ht="25.5" x14ac:dyDescent="0.25">
      <c r="A28" s="327">
        <v>23</v>
      </c>
      <c r="B28" s="339" t="s">
        <v>330</v>
      </c>
      <c r="C28" s="336"/>
      <c r="E28" s="305"/>
    </row>
    <row r="29" spans="1:6" s="261" customFormat="1" x14ac:dyDescent="0.25">
      <c r="A29" s="327">
        <v>24</v>
      </c>
      <c r="B29" s="342" t="s">
        <v>53</v>
      </c>
      <c r="C29" s="334">
        <f>C6-C12</f>
        <v>52917483.969116479</v>
      </c>
      <c r="E29" s="305"/>
      <c r="F29" s="343"/>
    </row>
    <row r="30" spans="1:6" s="261" customFormat="1" x14ac:dyDescent="0.25">
      <c r="A30" s="344"/>
      <c r="B30" s="345"/>
      <c r="C30" s="336"/>
      <c r="E30" s="305"/>
    </row>
    <row r="31" spans="1:6" s="261" customFormat="1" x14ac:dyDescent="0.25">
      <c r="A31" s="344">
        <v>25</v>
      </c>
      <c r="B31" s="342" t="s">
        <v>331</v>
      </c>
      <c r="C31" s="334">
        <f>C32+C35</f>
        <v>0</v>
      </c>
      <c r="E31" s="305"/>
    </row>
    <row r="32" spans="1:6" s="261" customFormat="1" x14ac:dyDescent="0.25">
      <c r="A32" s="344">
        <v>26</v>
      </c>
      <c r="B32" s="332" t="s">
        <v>332</v>
      </c>
      <c r="C32" s="346">
        <f>C33+C34</f>
        <v>0</v>
      </c>
      <c r="E32" s="305"/>
    </row>
    <row r="33" spans="1:5" s="261" customFormat="1" x14ac:dyDescent="0.25">
      <c r="A33" s="344">
        <v>27</v>
      </c>
      <c r="B33" s="347" t="s">
        <v>333</v>
      </c>
      <c r="C33" s="336"/>
      <c r="E33" s="305"/>
    </row>
    <row r="34" spans="1:5" s="261" customFormat="1" x14ac:dyDescent="0.25">
      <c r="A34" s="344">
        <v>28</v>
      </c>
      <c r="B34" s="347" t="s">
        <v>334</v>
      </c>
      <c r="C34" s="336"/>
      <c r="E34" s="305"/>
    </row>
    <row r="35" spans="1:5" s="261" customFormat="1" x14ac:dyDescent="0.25">
      <c r="A35" s="344">
        <v>29</v>
      </c>
      <c r="B35" s="332" t="s">
        <v>335</v>
      </c>
      <c r="C35" s="336"/>
      <c r="E35" s="305"/>
    </row>
    <row r="36" spans="1:5" s="261" customFormat="1" x14ac:dyDescent="0.25">
      <c r="A36" s="344">
        <v>30</v>
      </c>
      <c r="B36" s="342" t="s">
        <v>336</v>
      </c>
      <c r="C36" s="334">
        <f>SUM(C37:C41)</f>
        <v>0</v>
      </c>
      <c r="E36" s="305"/>
    </row>
    <row r="37" spans="1:5" s="261" customFormat="1" x14ac:dyDescent="0.25">
      <c r="A37" s="344">
        <v>31</v>
      </c>
      <c r="B37" s="337" t="s">
        <v>337</v>
      </c>
      <c r="C37" s="336"/>
      <c r="E37" s="305"/>
    </row>
    <row r="38" spans="1:5" s="261" customFormat="1" x14ac:dyDescent="0.25">
      <c r="A38" s="344">
        <v>32</v>
      </c>
      <c r="B38" s="338" t="s">
        <v>338</v>
      </c>
      <c r="C38" s="336"/>
      <c r="E38" s="305"/>
    </row>
    <row r="39" spans="1:5" s="261" customFormat="1" ht="25.5" x14ac:dyDescent="0.25">
      <c r="A39" s="344">
        <v>33</v>
      </c>
      <c r="B39" s="337" t="s">
        <v>339</v>
      </c>
      <c r="C39" s="336"/>
      <c r="E39" s="305"/>
    </row>
    <row r="40" spans="1:5" s="261" customFormat="1" ht="25.5" x14ac:dyDescent="0.25">
      <c r="A40" s="344">
        <v>34</v>
      </c>
      <c r="B40" s="337" t="s">
        <v>327</v>
      </c>
      <c r="C40" s="336"/>
      <c r="E40" s="305"/>
    </row>
    <row r="41" spans="1:5" s="261" customFormat="1" ht="25.5" x14ac:dyDescent="0.25">
      <c r="A41" s="344">
        <v>35</v>
      </c>
      <c r="B41" s="339" t="s">
        <v>340</v>
      </c>
      <c r="C41" s="336"/>
      <c r="E41" s="305"/>
    </row>
    <row r="42" spans="1:5" s="261" customFormat="1" x14ac:dyDescent="0.25">
      <c r="A42" s="344">
        <v>36</v>
      </c>
      <c r="B42" s="342" t="s">
        <v>341</v>
      </c>
      <c r="C42" s="334">
        <f>C31-C36</f>
        <v>0</v>
      </c>
      <c r="E42" s="305"/>
    </row>
    <row r="43" spans="1:5" s="261" customFormat="1" x14ac:dyDescent="0.25">
      <c r="A43" s="344"/>
      <c r="B43" s="345"/>
      <c r="C43" s="336"/>
      <c r="E43" s="305"/>
    </row>
    <row r="44" spans="1:5" s="261" customFormat="1" x14ac:dyDescent="0.25">
      <c r="A44" s="344">
        <v>37</v>
      </c>
      <c r="B44" s="348" t="s">
        <v>342</v>
      </c>
      <c r="C44" s="334">
        <f>SUM(C45:C47)</f>
        <v>2875000</v>
      </c>
      <c r="E44" s="305"/>
    </row>
    <row r="45" spans="1:5" s="261" customFormat="1" x14ac:dyDescent="0.25">
      <c r="A45" s="344">
        <v>38</v>
      </c>
      <c r="B45" s="332" t="s">
        <v>343</v>
      </c>
      <c r="C45" s="336">
        <v>2875000</v>
      </c>
      <c r="E45" s="305"/>
    </row>
    <row r="46" spans="1:5" s="261" customFormat="1" x14ac:dyDescent="0.25">
      <c r="A46" s="344">
        <v>39</v>
      </c>
      <c r="B46" s="332" t="s">
        <v>344</v>
      </c>
      <c r="C46" s="336"/>
      <c r="E46" s="305"/>
    </row>
    <row r="47" spans="1:5" s="261" customFormat="1" x14ac:dyDescent="0.25">
      <c r="A47" s="344">
        <v>40</v>
      </c>
      <c r="B47" s="847" t="s">
        <v>345</v>
      </c>
      <c r="C47" s="336"/>
      <c r="E47" s="305"/>
    </row>
    <row r="48" spans="1:5" s="261" customFormat="1" x14ac:dyDescent="0.25">
      <c r="A48" s="344">
        <v>41</v>
      </c>
      <c r="B48" s="348" t="s">
        <v>346</v>
      </c>
      <c r="C48" s="334">
        <f>SUM(C49:C52)</f>
        <v>0</v>
      </c>
      <c r="E48" s="305"/>
    </row>
    <row r="49" spans="1:5" s="261" customFormat="1" x14ac:dyDescent="0.25">
      <c r="A49" s="344">
        <v>42</v>
      </c>
      <c r="B49" s="337" t="s">
        <v>347</v>
      </c>
      <c r="C49" s="336"/>
      <c r="E49" s="305"/>
    </row>
    <row r="50" spans="1:5" s="261" customFormat="1" x14ac:dyDescent="0.25">
      <c r="A50" s="344">
        <v>43</v>
      </c>
      <c r="B50" s="338" t="s">
        <v>348</v>
      </c>
      <c r="C50" s="336"/>
      <c r="E50" s="305"/>
    </row>
    <row r="51" spans="1:5" s="261" customFormat="1" ht="25.5" x14ac:dyDescent="0.25">
      <c r="A51" s="344">
        <v>44</v>
      </c>
      <c r="B51" s="337" t="s">
        <v>349</v>
      </c>
      <c r="C51" s="336"/>
      <c r="E51" s="305"/>
    </row>
    <row r="52" spans="1:5" s="261" customFormat="1" ht="25.5" x14ac:dyDescent="0.25">
      <c r="A52" s="344">
        <v>45</v>
      </c>
      <c r="B52" s="337" t="s">
        <v>327</v>
      </c>
      <c r="C52" s="336"/>
      <c r="E52" s="305"/>
    </row>
    <row r="53" spans="1:5" s="261" customFormat="1" ht="15.75" thickBot="1" x14ac:dyDescent="0.3">
      <c r="A53" s="344">
        <v>46</v>
      </c>
      <c r="B53" s="349" t="s">
        <v>350</v>
      </c>
      <c r="C53" s="350">
        <f>C44-C48</f>
        <v>2875000</v>
      </c>
      <c r="E53" s="305"/>
    </row>
    <row r="55" spans="1:5" x14ac:dyDescent="0.25">
      <c r="C55" s="351"/>
    </row>
    <row r="56" spans="1:5" x14ac:dyDescent="0.25">
      <c r="B56" s="22" t="s">
        <v>351</v>
      </c>
      <c r="C56" s="352"/>
    </row>
    <row r="57" spans="1:5" x14ac:dyDescent="0.25">
      <c r="C57" s="352"/>
    </row>
    <row r="58" spans="1:5" x14ac:dyDescent="0.25">
      <c r="C58" s="353"/>
    </row>
  </sheetData>
  <dataValidations count="1">
    <dataValidation operator="lessThanOrEqual" allowBlank="1" showInputMessage="1" showErrorMessage="1" errorTitle="Should be negative number" error="Should be whole negative number or 0" sqref="C13:C53" xr:uid="{1EE5F598-C8EF-440A-BAF1-92067CDA905C}"/>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055AB-29C7-457B-BE24-C1A040D058FC}">
  <dimension ref="A1:D23"/>
  <sheetViews>
    <sheetView workbookViewId="0">
      <selection activeCell="C19" sqref="C19:D21"/>
    </sheetView>
  </sheetViews>
  <sheetFormatPr defaultColWidth="9.140625" defaultRowHeight="12.75" x14ac:dyDescent="0.2"/>
  <cols>
    <col min="1" max="1" width="10.85546875" style="22" bestFit="1" customWidth="1"/>
    <col min="2" max="2" width="59" style="22" customWidth="1"/>
    <col min="3" max="3" width="16.7109375" style="22" bestFit="1" customWidth="1"/>
    <col min="4" max="4" width="22.140625" style="22" customWidth="1"/>
    <col min="5" max="16384" width="9.140625" style="22"/>
  </cols>
  <sheetData>
    <row r="1" spans="1:4" ht="15" x14ac:dyDescent="0.3">
      <c r="A1" s="23" t="s">
        <v>41</v>
      </c>
      <c r="B1" s="25" t="str">
        <f>Info!C2</f>
        <v>სს სილქ ბანკი</v>
      </c>
    </row>
    <row r="2" spans="1:4" s="23" customFormat="1" ht="15.75" customHeight="1" x14ac:dyDescent="0.3">
      <c r="A2" s="23" t="s">
        <v>42</v>
      </c>
      <c r="B2" s="26">
        <f>'1. key ratios'!B2</f>
        <v>45291</v>
      </c>
    </row>
    <row r="3" spans="1:4" s="23" customFormat="1" ht="15.75" customHeight="1" x14ac:dyDescent="0.3"/>
    <row r="4" spans="1:4" ht="40.5" customHeight="1" thickBot="1" x14ac:dyDescent="0.25">
      <c r="A4" s="22" t="s">
        <v>352</v>
      </c>
      <c r="B4" s="354" t="s">
        <v>22</v>
      </c>
    </row>
    <row r="5" spans="1:4" s="320" customFormat="1" x14ac:dyDescent="0.25">
      <c r="A5" s="355" t="s">
        <v>353</v>
      </c>
      <c r="B5" s="356"/>
      <c r="C5" s="357" t="s">
        <v>354</v>
      </c>
      <c r="D5" s="358" t="s">
        <v>355</v>
      </c>
    </row>
    <row r="6" spans="1:4" s="362" customFormat="1" x14ac:dyDescent="0.25">
      <c r="A6" s="359">
        <v>1</v>
      </c>
      <c r="B6" s="360" t="s">
        <v>356</v>
      </c>
      <c r="C6" s="360"/>
      <c r="D6" s="361"/>
    </row>
    <row r="7" spans="1:4" s="362" customFormat="1" x14ac:dyDescent="0.25">
      <c r="A7" s="363" t="s">
        <v>357</v>
      </c>
      <c r="B7" s="364" t="s">
        <v>358</v>
      </c>
      <c r="C7" s="365">
        <v>4.4999999999999998E-2</v>
      </c>
      <c r="D7" s="366">
        <f>C7*'5. RWA'!$C$13</f>
        <v>5430694.3152045915</v>
      </c>
    </row>
    <row r="8" spans="1:4" s="362" customFormat="1" x14ac:dyDescent="0.25">
      <c r="A8" s="363" t="s">
        <v>359</v>
      </c>
      <c r="B8" s="364" t="s">
        <v>360</v>
      </c>
      <c r="C8" s="365">
        <v>0.06</v>
      </c>
      <c r="D8" s="366">
        <f>C8*'5. RWA'!$C$13</f>
        <v>7240925.753606122</v>
      </c>
    </row>
    <row r="9" spans="1:4" s="362" customFormat="1" x14ac:dyDescent="0.25">
      <c r="A9" s="363" t="s">
        <v>361</v>
      </c>
      <c r="B9" s="364" t="s">
        <v>362</v>
      </c>
      <c r="C9" s="365">
        <v>0.08</v>
      </c>
      <c r="D9" s="366">
        <f>C9*'5. RWA'!$C$13</f>
        <v>9654567.6714748293</v>
      </c>
    </row>
    <row r="10" spans="1:4" s="362" customFormat="1" x14ac:dyDescent="0.25">
      <c r="A10" s="359" t="s">
        <v>363</v>
      </c>
      <c r="B10" s="360" t="s">
        <v>364</v>
      </c>
      <c r="C10" s="367"/>
      <c r="D10" s="368"/>
    </row>
    <row r="11" spans="1:4" s="373" customFormat="1" x14ac:dyDescent="0.25">
      <c r="A11" s="369" t="s">
        <v>365</v>
      </c>
      <c r="B11" s="370" t="s">
        <v>366</v>
      </c>
      <c r="C11" s="371">
        <v>0</v>
      </c>
      <c r="D11" s="372">
        <f>C11*'5. RWA'!$C$13</f>
        <v>0</v>
      </c>
    </row>
    <row r="12" spans="1:4" s="373" customFormat="1" x14ac:dyDescent="0.25">
      <c r="A12" s="369" t="s">
        <v>367</v>
      </c>
      <c r="B12" s="370" t="s">
        <v>368</v>
      </c>
      <c r="C12" s="371">
        <v>0</v>
      </c>
      <c r="D12" s="372">
        <f>C12*'5. RWA'!$C$13</f>
        <v>0</v>
      </c>
    </row>
    <row r="13" spans="1:4" s="373" customFormat="1" x14ac:dyDescent="0.25">
      <c r="A13" s="369" t="s">
        <v>369</v>
      </c>
      <c r="B13" s="370" t="s">
        <v>370</v>
      </c>
      <c r="C13" s="371">
        <v>0</v>
      </c>
      <c r="D13" s="372">
        <f>C13*'5. RWA'!$C$13</f>
        <v>0</v>
      </c>
    </row>
    <row r="14" spans="1:4" s="362" customFormat="1" x14ac:dyDescent="0.25">
      <c r="A14" s="359" t="s">
        <v>371</v>
      </c>
      <c r="B14" s="360" t="s">
        <v>372</v>
      </c>
      <c r="C14" s="374"/>
      <c r="D14" s="368"/>
    </row>
    <row r="15" spans="1:4" s="362" customFormat="1" x14ac:dyDescent="0.25">
      <c r="A15" s="375" t="s">
        <v>373</v>
      </c>
      <c r="B15" s="370" t="s">
        <v>374</v>
      </c>
      <c r="C15" s="371">
        <v>0.11713202537560591</v>
      </c>
      <c r="D15" s="372">
        <f>C15*'5. RWA'!$C$13</f>
        <v>14135738.318571178</v>
      </c>
    </row>
    <row r="16" spans="1:4" s="362" customFormat="1" x14ac:dyDescent="0.25">
      <c r="A16" s="375" t="s">
        <v>375</v>
      </c>
      <c r="B16" s="370" t="s">
        <v>376</v>
      </c>
      <c r="C16" s="371">
        <v>0.14450056847367074</v>
      </c>
      <c r="D16" s="372">
        <f>C16*'5. RWA'!$C$13</f>
        <v>17438631.461195458</v>
      </c>
    </row>
    <row r="17" spans="1:4" s="362" customFormat="1" x14ac:dyDescent="0.25">
      <c r="A17" s="375" t="s">
        <v>377</v>
      </c>
      <c r="B17" s="370" t="s">
        <v>378</v>
      </c>
      <c r="C17" s="371">
        <v>0.18051180939217709</v>
      </c>
      <c r="D17" s="372">
        <f>C17*'5. RWA'!$C$13</f>
        <v>21784543.490964245</v>
      </c>
    </row>
    <row r="18" spans="1:4" s="320" customFormat="1" x14ac:dyDescent="0.25">
      <c r="A18" s="376" t="s">
        <v>379</v>
      </c>
      <c r="B18" s="377"/>
      <c r="C18" s="378" t="s">
        <v>354</v>
      </c>
      <c r="D18" s="379" t="s">
        <v>355</v>
      </c>
    </row>
    <row r="19" spans="1:4" s="362" customFormat="1" x14ac:dyDescent="0.25">
      <c r="A19" s="380">
        <v>4</v>
      </c>
      <c r="B19" s="370" t="s">
        <v>53</v>
      </c>
      <c r="C19" s="371">
        <f>C7+C11+C12+C13+C15</f>
        <v>0.16213202537560589</v>
      </c>
      <c r="D19" s="366">
        <f>C19*'5. RWA'!$C$13</f>
        <v>19566432.633775767</v>
      </c>
    </row>
    <row r="20" spans="1:4" s="362" customFormat="1" x14ac:dyDescent="0.25">
      <c r="A20" s="380">
        <v>5</v>
      </c>
      <c r="B20" s="370" t="s">
        <v>54</v>
      </c>
      <c r="C20" s="371">
        <f>C8+C11+C12+C13+C16</f>
        <v>0.20450056847367074</v>
      </c>
      <c r="D20" s="366">
        <f>C20*'5. RWA'!$C$13</f>
        <v>24679557.21480158</v>
      </c>
    </row>
    <row r="21" spans="1:4" s="362" customFormat="1" ht="13.5" thickBot="1" x14ac:dyDescent="0.3">
      <c r="A21" s="381" t="s">
        <v>380</v>
      </c>
      <c r="B21" s="382" t="s">
        <v>20</v>
      </c>
      <c r="C21" s="383">
        <f>C9+C11+C12+C13+C17</f>
        <v>0.26051180939217711</v>
      </c>
      <c r="D21" s="384">
        <f>C21*'5. RWA'!$C$13</f>
        <v>31439111.162439074</v>
      </c>
    </row>
    <row r="22" spans="1:4" x14ac:dyDescent="0.2">
      <c r="B22" s="242"/>
    </row>
    <row r="23" spans="1:4" ht="63.75" x14ac:dyDescent="0.2">
      <c r="B23" s="128" t="s">
        <v>381</v>
      </c>
    </row>
  </sheetData>
  <mergeCells count="2">
    <mergeCell ref="A5:B5"/>
    <mergeCell ref="A18:B18"/>
  </mergeCells>
  <conditionalFormatting sqref="C21">
    <cfRule type="cellIs" dxfId="22" priority="1" operator="lessThan">
      <formula>#REF!</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7D3F2-FB15-4FE8-BA32-CE88C914CF58}">
  <dimension ref="A1:E72"/>
  <sheetViews>
    <sheetView zoomScaleNormal="100" workbookViewId="0">
      <pane xSplit="1" ySplit="5" topLeftCell="B43" activePane="bottomRight" state="frozen"/>
      <selection activeCell="J35" sqref="J35"/>
      <selection pane="topRight" activeCell="J35" sqref="J35"/>
      <selection pane="bottomLeft" activeCell="J35" sqref="J35"/>
      <selection pane="bottomRight" activeCell="C6" sqref="C6:C69"/>
    </sheetView>
  </sheetViews>
  <sheetFormatPr defaultRowHeight="15.75" x14ac:dyDescent="0.3"/>
  <cols>
    <col min="1" max="1" width="10.7109375" style="385" customWidth="1"/>
    <col min="2" max="2" width="91.85546875" style="385" customWidth="1"/>
    <col min="3" max="3" width="53.140625" style="385" customWidth="1"/>
    <col min="4" max="4" width="32.28515625" style="385" customWidth="1"/>
    <col min="5" max="5" width="9.42578125" customWidth="1"/>
  </cols>
  <sheetData>
    <row r="1" spans="1:5" x14ac:dyDescent="0.3">
      <c r="A1" s="23" t="s">
        <v>41</v>
      </c>
      <c r="B1" s="127" t="str">
        <f>Info!C2</f>
        <v>სს სილქ ბანკი</v>
      </c>
      <c r="E1" s="22"/>
    </row>
    <row r="2" spans="1:5" s="23" customFormat="1" ht="15.75" customHeight="1" x14ac:dyDescent="0.3">
      <c r="A2" s="23" t="s">
        <v>42</v>
      </c>
      <c r="B2" s="26">
        <f>'1. key ratios'!B2</f>
        <v>45291</v>
      </c>
    </row>
    <row r="3" spans="1:5" s="23" customFormat="1" ht="15.75" customHeight="1" x14ac:dyDescent="0.3">
      <c r="A3" s="386"/>
    </row>
    <row r="4" spans="1:5" s="23" customFormat="1" ht="40.5" customHeight="1" thickBot="1" x14ac:dyDescent="0.35">
      <c r="A4" s="23" t="s">
        <v>382</v>
      </c>
      <c r="B4" s="387" t="s">
        <v>23</v>
      </c>
      <c r="D4" s="388" t="s">
        <v>238</v>
      </c>
    </row>
    <row r="5" spans="1:5" ht="25.5" x14ac:dyDescent="0.25">
      <c r="A5" s="389" t="s">
        <v>46</v>
      </c>
      <c r="B5" s="390" t="s">
        <v>291</v>
      </c>
      <c r="C5" s="391" t="s">
        <v>383</v>
      </c>
      <c r="D5" s="392" t="s">
        <v>384</v>
      </c>
    </row>
    <row r="6" spans="1:5" x14ac:dyDescent="0.3">
      <c r="A6" s="143">
        <v>1</v>
      </c>
      <c r="B6" s="144" t="s">
        <v>98</v>
      </c>
      <c r="C6" s="393">
        <f>SUM(C7:C9)</f>
        <v>54133789.841618873</v>
      </c>
      <c r="D6" s="394"/>
      <c r="E6" s="395"/>
    </row>
    <row r="7" spans="1:5" x14ac:dyDescent="0.3">
      <c r="A7" s="143">
        <v>1.1000000000000001</v>
      </c>
      <c r="B7" s="147" t="s">
        <v>99</v>
      </c>
      <c r="C7" s="396">
        <f>'7. LI1'!E9</f>
        <v>2443576.5099999942</v>
      </c>
      <c r="D7" s="397"/>
      <c r="E7" s="395"/>
    </row>
    <row r="8" spans="1:5" x14ac:dyDescent="0.3">
      <c r="A8" s="143">
        <v>1.2</v>
      </c>
      <c r="B8" s="147" t="s">
        <v>100</v>
      </c>
      <c r="C8" s="396">
        <f>'7. LI1'!E10</f>
        <v>3053640.359999944</v>
      </c>
      <c r="D8" s="397"/>
      <c r="E8" s="395"/>
    </row>
    <row r="9" spans="1:5" x14ac:dyDescent="0.3">
      <c r="A9" s="143">
        <v>1.3</v>
      </c>
      <c r="B9" s="147" t="s">
        <v>101</v>
      </c>
      <c r="C9" s="396">
        <f>'7. LI1'!E11</f>
        <v>48636572.971618935</v>
      </c>
      <c r="D9" s="397"/>
      <c r="E9" s="395"/>
    </row>
    <row r="10" spans="1:5" x14ac:dyDescent="0.3">
      <c r="A10" s="143">
        <v>2</v>
      </c>
      <c r="B10" s="149" t="s">
        <v>102</v>
      </c>
      <c r="C10" s="396">
        <f>'7. LI1'!E12</f>
        <v>134296.61193583731</v>
      </c>
      <c r="D10" s="397"/>
      <c r="E10" s="395"/>
    </row>
    <row r="11" spans="1:5" x14ac:dyDescent="0.3">
      <c r="A11" s="143">
        <v>2.1</v>
      </c>
      <c r="B11" s="150" t="s">
        <v>103</v>
      </c>
      <c r="C11" s="396">
        <f>'7. LI1'!E13</f>
        <v>134296.61193583731</v>
      </c>
      <c r="D11" s="398"/>
      <c r="E11" s="399"/>
    </row>
    <row r="12" spans="1:5" ht="23.45" customHeight="1" x14ac:dyDescent="0.3">
      <c r="A12" s="143">
        <v>3</v>
      </c>
      <c r="B12" s="151" t="s">
        <v>104</v>
      </c>
      <c r="C12" s="396">
        <f>'7. LI1'!E14</f>
        <v>0</v>
      </c>
      <c r="D12" s="398"/>
      <c r="E12" s="399"/>
    </row>
    <row r="13" spans="1:5" ht="23.1" customHeight="1" x14ac:dyDescent="0.3">
      <c r="A13" s="143">
        <v>4</v>
      </c>
      <c r="B13" s="152" t="s">
        <v>105</v>
      </c>
      <c r="C13" s="396">
        <f>'7. LI1'!E15</f>
        <v>0</v>
      </c>
      <c r="D13" s="398"/>
      <c r="E13" s="399"/>
    </row>
    <row r="14" spans="1:5" x14ac:dyDescent="0.3">
      <c r="A14" s="143">
        <v>5</v>
      </c>
      <c r="B14" s="152" t="s">
        <v>106</v>
      </c>
      <c r="C14" s="400">
        <f>SUM(C15:C17)</f>
        <v>20000</v>
      </c>
      <c r="D14" s="398"/>
      <c r="E14" s="399"/>
    </row>
    <row r="15" spans="1:5" x14ac:dyDescent="0.3">
      <c r="A15" s="143">
        <v>5.0999999999999996</v>
      </c>
      <c r="B15" s="155" t="s">
        <v>107</v>
      </c>
      <c r="C15" s="396">
        <f>'7. LI1'!E17</f>
        <v>20000</v>
      </c>
      <c r="D15" s="398"/>
      <c r="E15" s="395"/>
    </row>
    <row r="16" spans="1:5" x14ac:dyDescent="0.3">
      <c r="A16" s="143">
        <v>5.2</v>
      </c>
      <c r="B16" s="155" t="s">
        <v>108</v>
      </c>
      <c r="C16" s="396">
        <f>'7. LI1'!E18</f>
        <v>0</v>
      </c>
      <c r="D16" s="397"/>
      <c r="E16" s="395"/>
    </row>
    <row r="17" spans="1:5" x14ac:dyDescent="0.3">
      <c r="A17" s="143">
        <v>5.3</v>
      </c>
      <c r="B17" s="155" t="s">
        <v>109</v>
      </c>
      <c r="C17" s="396">
        <f>'7. LI1'!E19</f>
        <v>0</v>
      </c>
      <c r="D17" s="397"/>
      <c r="E17" s="395"/>
    </row>
    <row r="18" spans="1:5" x14ac:dyDescent="0.3">
      <c r="A18" s="143">
        <v>6</v>
      </c>
      <c r="B18" s="151" t="s">
        <v>110</v>
      </c>
      <c r="C18" s="401">
        <f>SUM(C19:C20)</f>
        <v>82286409.211369246</v>
      </c>
      <c r="D18" s="397"/>
      <c r="E18" s="395"/>
    </row>
    <row r="19" spans="1:5" x14ac:dyDescent="0.3">
      <c r="A19" s="143">
        <v>6.1</v>
      </c>
      <c r="B19" s="155" t="s">
        <v>108</v>
      </c>
      <c r="C19" s="402">
        <f>'7. LI1'!C21</f>
        <v>27213770.959984913</v>
      </c>
      <c r="D19" s="397"/>
      <c r="E19" s="395"/>
    </row>
    <row r="20" spans="1:5" x14ac:dyDescent="0.3">
      <c r="A20" s="143">
        <v>6.2</v>
      </c>
      <c r="B20" s="155" t="s">
        <v>109</v>
      </c>
      <c r="C20" s="402">
        <f>'7. LI1'!C22</f>
        <v>55072638.251384333</v>
      </c>
      <c r="D20" s="397"/>
      <c r="E20" s="395"/>
    </row>
    <row r="21" spans="1:5" x14ac:dyDescent="0.3">
      <c r="A21" s="143">
        <v>7</v>
      </c>
      <c r="B21" s="166" t="s">
        <v>111</v>
      </c>
      <c r="C21" s="400"/>
      <c r="D21" s="397"/>
      <c r="E21" s="395"/>
    </row>
    <row r="22" spans="1:5" x14ac:dyDescent="0.3">
      <c r="A22" s="143">
        <v>8</v>
      </c>
      <c r="B22" s="403" t="s">
        <v>112</v>
      </c>
      <c r="C22" s="401">
        <f>'7. LI1'!E24</f>
        <v>3651626.4593548691</v>
      </c>
      <c r="D22" s="397"/>
      <c r="E22" s="395"/>
    </row>
    <row r="23" spans="1:5" x14ac:dyDescent="0.3">
      <c r="A23" s="143">
        <v>9</v>
      </c>
      <c r="B23" s="152" t="s">
        <v>113</v>
      </c>
      <c r="C23" s="401">
        <f>SUM(C24:C25)</f>
        <v>20643828.830000006</v>
      </c>
      <c r="D23" s="404"/>
      <c r="E23" s="395"/>
    </row>
    <row r="24" spans="1:5" x14ac:dyDescent="0.3">
      <c r="A24" s="143">
        <v>9.1</v>
      </c>
      <c r="B24" s="158" t="s">
        <v>114</v>
      </c>
      <c r="C24" s="405">
        <f>'7. LI1'!E26</f>
        <v>20643828.830000006</v>
      </c>
      <c r="D24" s="406"/>
      <c r="E24" s="395"/>
    </row>
    <row r="25" spans="1:5" x14ac:dyDescent="0.3">
      <c r="A25" s="143">
        <v>9.1999999999999993</v>
      </c>
      <c r="B25" s="158" t="s">
        <v>115</v>
      </c>
      <c r="C25" s="405">
        <f>'7. LI1'!E27</f>
        <v>0</v>
      </c>
      <c r="D25" s="407"/>
      <c r="E25" s="408"/>
    </row>
    <row r="26" spans="1:5" x14ac:dyDescent="0.3">
      <c r="A26" s="143">
        <v>10</v>
      </c>
      <c r="B26" s="152" t="s">
        <v>116</v>
      </c>
      <c r="C26" s="409">
        <f>SUM(C27:C28)</f>
        <v>1120485.0400000012</v>
      </c>
      <c r="D26" s="410" t="s">
        <v>385</v>
      </c>
      <c r="E26" s="395"/>
    </row>
    <row r="27" spans="1:5" x14ac:dyDescent="0.3">
      <c r="A27" s="143">
        <v>10.1</v>
      </c>
      <c r="B27" s="158" t="s">
        <v>117</v>
      </c>
      <c r="C27" s="396">
        <f>'7. LI1'!C29</f>
        <v>0</v>
      </c>
      <c r="D27" s="397"/>
      <c r="E27" s="395"/>
    </row>
    <row r="28" spans="1:5" x14ac:dyDescent="0.3">
      <c r="A28" s="143">
        <v>10.199999999999999</v>
      </c>
      <c r="B28" s="158" t="s">
        <v>118</v>
      </c>
      <c r="C28" s="396">
        <f>'7. LI1'!C30</f>
        <v>1120485.0400000012</v>
      </c>
      <c r="D28" s="397"/>
      <c r="E28" s="395"/>
    </row>
    <row r="29" spans="1:5" x14ac:dyDescent="0.3">
      <c r="A29" s="143">
        <v>11</v>
      </c>
      <c r="B29" s="152" t="s">
        <v>119</v>
      </c>
      <c r="C29" s="401">
        <f>SUM(C30:C31)</f>
        <v>45248.5</v>
      </c>
      <c r="D29" s="397"/>
      <c r="E29" s="395"/>
    </row>
    <row r="30" spans="1:5" x14ac:dyDescent="0.3">
      <c r="A30" s="143">
        <v>11.1</v>
      </c>
      <c r="B30" s="158" t="s">
        <v>120</v>
      </c>
      <c r="C30" s="396">
        <f>'7. LI1'!C32</f>
        <v>45248.5</v>
      </c>
      <c r="D30" s="397"/>
      <c r="E30" s="395"/>
    </row>
    <row r="31" spans="1:5" x14ac:dyDescent="0.3">
      <c r="A31" s="143">
        <v>11.2</v>
      </c>
      <c r="B31" s="158" t="s">
        <v>121</v>
      </c>
      <c r="C31" s="396">
        <f>'7. LI1'!C33</f>
        <v>0</v>
      </c>
      <c r="D31" s="397"/>
      <c r="E31" s="395"/>
    </row>
    <row r="32" spans="1:5" x14ac:dyDescent="0.3">
      <c r="A32" s="143">
        <v>13</v>
      </c>
      <c r="B32" s="152" t="s">
        <v>122</v>
      </c>
      <c r="C32" s="396">
        <f>'7. LI1'!C34</f>
        <v>5033574.8099999996</v>
      </c>
      <c r="D32" s="397"/>
      <c r="E32" s="395"/>
    </row>
    <row r="33" spans="1:5" x14ac:dyDescent="0.3">
      <c r="A33" s="143">
        <v>13.1</v>
      </c>
      <c r="B33" s="159" t="s">
        <v>123</v>
      </c>
      <c r="C33" s="396">
        <f>'7. LI1'!C35</f>
        <v>0</v>
      </c>
      <c r="D33" s="397"/>
      <c r="E33" s="395"/>
    </row>
    <row r="34" spans="1:5" x14ac:dyDescent="0.3">
      <c r="A34" s="143">
        <v>13.2</v>
      </c>
      <c r="B34" s="159" t="s">
        <v>124</v>
      </c>
      <c r="C34" s="396">
        <f>'7. LI1'!C36</f>
        <v>0</v>
      </c>
      <c r="D34" s="406"/>
      <c r="E34" s="395"/>
    </row>
    <row r="35" spans="1:5" x14ac:dyDescent="0.3">
      <c r="A35" s="143">
        <v>14</v>
      </c>
      <c r="B35" s="160" t="s">
        <v>125</v>
      </c>
      <c r="C35" s="411">
        <f>SUM(C6,C10,C12,C13,C14,C18,C21,C22,C23,C26,C29,C32)</f>
        <v>167069259.30427885</v>
      </c>
      <c r="D35" s="406"/>
      <c r="E35" s="395"/>
    </row>
    <row r="36" spans="1:5" x14ac:dyDescent="0.3">
      <c r="A36" s="143"/>
      <c r="B36" s="161" t="s">
        <v>126</v>
      </c>
      <c r="C36" s="412"/>
      <c r="D36" s="413"/>
      <c r="E36" s="395"/>
    </row>
    <row r="37" spans="1:5" x14ac:dyDescent="0.3">
      <c r="A37" s="143">
        <v>15</v>
      </c>
      <c r="B37" s="165" t="s">
        <v>127</v>
      </c>
      <c r="C37" s="414">
        <f>'2. SOFP'!E38</f>
        <v>240.22999999998137</v>
      </c>
      <c r="D37" s="407"/>
      <c r="E37" s="408"/>
    </row>
    <row r="38" spans="1:5" x14ac:dyDescent="0.3">
      <c r="A38" s="143">
        <v>15.1</v>
      </c>
      <c r="B38" s="150" t="s">
        <v>103</v>
      </c>
      <c r="C38" s="414">
        <f>'2. SOFP'!E39</f>
        <v>240.22999999998137</v>
      </c>
      <c r="D38" s="397"/>
      <c r="E38" s="395"/>
    </row>
    <row r="39" spans="1:5" ht="21" x14ac:dyDescent="0.3">
      <c r="A39" s="143">
        <v>16</v>
      </c>
      <c r="B39" s="166" t="s">
        <v>128</v>
      </c>
      <c r="C39" s="414">
        <f>'2. SOFP'!E40</f>
        <v>0</v>
      </c>
      <c r="D39" s="397"/>
      <c r="E39" s="395"/>
    </row>
    <row r="40" spans="1:5" x14ac:dyDescent="0.3">
      <c r="A40" s="143">
        <v>17</v>
      </c>
      <c r="B40" s="166" t="s">
        <v>129</v>
      </c>
      <c r="C40" s="401">
        <f>SUM(C41:C44)</f>
        <v>102035712.67268446</v>
      </c>
      <c r="D40" s="397"/>
      <c r="E40" s="395"/>
    </row>
    <row r="41" spans="1:5" x14ac:dyDescent="0.3">
      <c r="A41" s="143">
        <v>17.100000000000001</v>
      </c>
      <c r="B41" s="168" t="s">
        <v>130</v>
      </c>
      <c r="C41" s="396">
        <f>'2. SOFP'!E42</f>
        <v>100636595.76268446</v>
      </c>
      <c r="D41" s="397"/>
      <c r="E41" s="395"/>
    </row>
    <row r="42" spans="1:5" x14ac:dyDescent="0.3">
      <c r="A42" s="415">
        <v>17.2</v>
      </c>
      <c r="B42" s="416" t="s">
        <v>131</v>
      </c>
      <c r="C42" s="396">
        <f>'2. SOFP'!E43</f>
        <v>0</v>
      </c>
      <c r="D42" s="406"/>
      <c r="E42" s="395"/>
    </row>
    <row r="43" spans="1:5" x14ac:dyDescent="0.3">
      <c r="A43" s="143">
        <v>17.3</v>
      </c>
      <c r="B43" s="417" t="s">
        <v>132</v>
      </c>
      <c r="C43" s="396">
        <f>'2. SOFP'!E44</f>
        <v>0</v>
      </c>
      <c r="D43" s="418"/>
      <c r="E43" s="395"/>
    </row>
    <row r="44" spans="1:5" x14ac:dyDescent="0.3">
      <c r="A44" s="143">
        <v>17.399999999999999</v>
      </c>
      <c r="B44" s="417" t="s">
        <v>133</v>
      </c>
      <c r="C44" s="396">
        <f>'2. SOFP'!E45</f>
        <v>1399116.91</v>
      </c>
      <c r="D44" s="418"/>
      <c r="E44" s="395"/>
    </row>
    <row r="45" spans="1:5" x14ac:dyDescent="0.3">
      <c r="A45" s="143">
        <v>18</v>
      </c>
      <c r="B45" s="172" t="s">
        <v>134</v>
      </c>
      <c r="C45" s="396">
        <f>'2. SOFP'!E46</f>
        <v>56015.130083043972</v>
      </c>
      <c r="D45" s="418"/>
      <c r="E45" s="408"/>
    </row>
    <row r="46" spans="1:5" x14ac:dyDescent="0.3">
      <c r="A46" s="143">
        <v>19</v>
      </c>
      <c r="B46" s="172" t="s">
        <v>135</v>
      </c>
      <c r="C46" s="419">
        <f>SUM(C47:C48)</f>
        <v>1831361.398579011</v>
      </c>
      <c r="D46" s="3"/>
    </row>
    <row r="47" spans="1:5" x14ac:dyDescent="0.3">
      <c r="A47" s="143">
        <v>19.100000000000001</v>
      </c>
      <c r="B47" s="420" t="s">
        <v>136</v>
      </c>
      <c r="C47" s="421">
        <f>'2. SOFP'!E48</f>
        <v>0</v>
      </c>
      <c r="D47" s="3"/>
    </row>
    <row r="48" spans="1:5" x14ac:dyDescent="0.3">
      <c r="A48" s="143">
        <v>19.2</v>
      </c>
      <c r="B48" s="420" t="s">
        <v>137</v>
      </c>
      <c r="C48" s="421">
        <f>'2. SOFP'!E49</f>
        <v>1831361.398579011</v>
      </c>
      <c r="D48" s="3"/>
    </row>
    <row r="49" spans="1:4" x14ac:dyDescent="0.3">
      <c r="A49" s="143">
        <v>20</v>
      </c>
      <c r="B49" s="160" t="s">
        <v>138</v>
      </c>
      <c r="C49" s="422">
        <f>'2. SOFP'!E50</f>
        <v>2878544.5300000003</v>
      </c>
      <c r="D49" s="3"/>
    </row>
    <row r="50" spans="1:4" x14ac:dyDescent="0.3">
      <c r="A50" s="143">
        <v>20.100000000000001</v>
      </c>
      <c r="B50" s="160" t="s">
        <v>386</v>
      </c>
      <c r="C50" s="422">
        <v>2875000</v>
      </c>
      <c r="D50" s="410" t="s">
        <v>387</v>
      </c>
    </row>
    <row r="51" spans="1:4" x14ac:dyDescent="0.3">
      <c r="A51" s="143">
        <v>21</v>
      </c>
      <c r="B51" s="149" t="s">
        <v>139</v>
      </c>
      <c r="C51" s="421">
        <f>'2. SOFP'!E51</f>
        <v>1230708.3600000003</v>
      </c>
      <c r="D51" s="3"/>
    </row>
    <row r="52" spans="1:4" x14ac:dyDescent="0.3">
      <c r="A52" s="143">
        <v>21.1</v>
      </c>
      <c r="B52" s="147" t="s">
        <v>140</v>
      </c>
      <c r="C52" s="421">
        <f>'2. SOFP'!E52</f>
        <v>0</v>
      </c>
      <c r="D52" s="3"/>
    </row>
    <row r="53" spans="1:4" x14ac:dyDescent="0.3">
      <c r="A53" s="143">
        <v>22</v>
      </c>
      <c r="B53" s="160" t="s">
        <v>141</v>
      </c>
      <c r="C53" s="419">
        <f>SUM(C37,C39,C40,C45,C46,C49,C51)</f>
        <v>108032582.32134652</v>
      </c>
      <c r="D53" s="3"/>
    </row>
    <row r="54" spans="1:4" x14ac:dyDescent="0.3">
      <c r="A54" s="143"/>
      <c r="B54" s="161" t="s">
        <v>142</v>
      </c>
      <c r="C54" s="3"/>
      <c r="D54" s="3"/>
    </row>
    <row r="55" spans="1:4" x14ac:dyDescent="0.3">
      <c r="A55" s="143">
        <v>23</v>
      </c>
      <c r="B55" s="160" t="s">
        <v>143</v>
      </c>
      <c r="C55" s="423">
        <f>'2. SOFP'!E55</f>
        <v>72746400</v>
      </c>
      <c r="D55" s="3"/>
    </row>
    <row r="56" spans="1:4" x14ac:dyDescent="0.3">
      <c r="A56" s="143">
        <v>24</v>
      </c>
      <c r="B56" s="160" t="s">
        <v>144</v>
      </c>
      <c r="C56" s="423">
        <f>'2. SOFP'!E56</f>
        <v>0</v>
      </c>
      <c r="D56" s="3"/>
    </row>
    <row r="57" spans="1:4" x14ac:dyDescent="0.3">
      <c r="A57" s="143">
        <v>25</v>
      </c>
      <c r="B57" s="160" t="s">
        <v>145</v>
      </c>
      <c r="C57" s="423">
        <f>'2. SOFP'!E57</f>
        <v>0</v>
      </c>
      <c r="D57" s="3"/>
    </row>
    <row r="58" spans="1:4" x14ac:dyDescent="0.3">
      <c r="A58" s="143">
        <v>26</v>
      </c>
      <c r="B58" s="172" t="s">
        <v>146</v>
      </c>
      <c r="C58" s="423">
        <f>'2. SOFP'!E58</f>
        <v>0</v>
      </c>
      <c r="D58" s="3"/>
    </row>
    <row r="59" spans="1:4" x14ac:dyDescent="0.3">
      <c r="A59" s="143">
        <v>27</v>
      </c>
      <c r="B59" s="172" t="s">
        <v>147</v>
      </c>
      <c r="C59" s="423">
        <f>SUM(C60:C61)</f>
        <v>0</v>
      </c>
      <c r="D59" s="3"/>
    </row>
    <row r="60" spans="1:4" x14ac:dyDescent="0.3">
      <c r="A60" s="143">
        <v>27.1</v>
      </c>
      <c r="B60" s="420" t="s">
        <v>148</v>
      </c>
      <c r="C60" s="424">
        <f>'2. SOFP'!E60</f>
        <v>0</v>
      </c>
      <c r="D60" s="3"/>
    </row>
    <row r="61" spans="1:4" x14ac:dyDescent="0.3">
      <c r="A61" s="143">
        <v>27.2</v>
      </c>
      <c r="B61" s="417" t="s">
        <v>149</v>
      </c>
      <c r="C61" s="424">
        <f>'2. SOFP'!E61</f>
        <v>0</v>
      </c>
      <c r="D61" s="3"/>
    </row>
    <row r="62" spans="1:4" x14ac:dyDescent="0.3">
      <c r="A62" s="143">
        <v>28</v>
      </c>
      <c r="B62" s="149" t="s">
        <v>150</v>
      </c>
      <c r="C62" s="424">
        <f>'2. SOFP'!E62</f>
        <v>0</v>
      </c>
      <c r="D62" s="3"/>
    </row>
    <row r="63" spans="1:4" x14ac:dyDescent="0.3">
      <c r="A63" s="143">
        <v>29</v>
      </c>
      <c r="B63" s="172" t="s">
        <v>151</v>
      </c>
      <c r="C63" s="423">
        <f>SUM(C64:C66)</f>
        <v>3985507.7298158458</v>
      </c>
      <c r="D63" s="3"/>
    </row>
    <row r="64" spans="1:4" x14ac:dyDescent="0.3">
      <c r="A64" s="143">
        <v>29.1</v>
      </c>
      <c r="B64" s="425" t="s">
        <v>152</v>
      </c>
      <c r="C64" s="424">
        <f>'2. SOFP'!E64</f>
        <v>3985507.7298158458</v>
      </c>
      <c r="D64" s="3"/>
    </row>
    <row r="65" spans="1:4" ht="24" customHeight="1" x14ac:dyDescent="0.3">
      <c r="A65" s="143">
        <v>29.2</v>
      </c>
      <c r="B65" s="420" t="s">
        <v>153</v>
      </c>
      <c r="C65" s="424">
        <f>'2. SOFP'!E65</f>
        <v>0</v>
      </c>
      <c r="D65" s="3"/>
    </row>
    <row r="66" spans="1:4" ht="21.95" customHeight="1" x14ac:dyDescent="0.3">
      <c r="A66" s="143">
        <v>29.3</v>
      </c>
      <c r="B66" s="426" t="s">
        <v>154</v>
      </c>
      <c r="C66" s="424">
        <f>'2. SOFP'!E66</f>
        <v>0</v>
      </c>
      <c r="D66" s="3"/>
    </row>
    <row r="67" spans="1:4" x14ac:dyDescent="0.3">
      <c r="A67" s="143">
        <v>30</v>
      </c>
      <c r="B67" s="172" t="s">
        <v>155</v>
      </c>
      <c r="C67" s="424">
        <f>'2. SOFP'!E67</f>
        <v>-17695230.990883514</v>
      </c>
      <c r="D67" s="3"/>
    </row>
    <row r="68" spans="1:4" x14ac:dyDescent="0.3">
      <c r="A68" s="143">
        <v>31</v>
      </c>
      <c r="B68" s="171" t="s">
        <v>156</v>
      </c>
      <c r="C68" s="423">
        <f>SUM(C55,C56,C57,C58,C59,C62,C63,C67)</f>
        <v>59036676.738932326</v>
      </c>
      <c r="D68" s="3"/>
    </row>
    <row r="69" spans="1:4" x14ac:dyDescent="0.3">
      <c r="A69" s="143">
        <v>32</v>
      </c>
      <c r="B69" s="172" t="s">
        <v>157</v>
      </c>
      <c r="C69" s="423">
        <f>SUM(C53,C68)</f>
        <v>167069259.06027883</v>
      </c>
      <c r="D69" s="3"/>
    </row>
    <row r="70" spans="1:4" x14ac:dyDescent="0.3">
      <c r="C70" s="427"/>
    </row>
    <row r="71" spans="1:4" x14ac:dyDescent="0.3">
      <c r="C71" s="428"/>
    </row>
    <row r="72" spans="1:4" x14ac:dyDescent="0.3">
      <c r="C72" s="428"/>
    </row>
  </sheetData>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10DCA-2E5A-4D92-9506-4928F338EFB1}">
  <dimension ref="A1:S27"/>
  <sheetViews>
    <sheetView workbookViewId="0">
      <pane xSplit="2" ySplit="7" topLeftCell="C8" activePane="bottomRight" state="frozen"/>
      <selection activeCell="J35" sqref="J35"/>
      <selection pane="topRight" activeCell="J35" sqref="J35"/>
      <selection pane="bottomLeft" activeCell="J35" sqref="J35"/>
      <selection pane="bottomRight" activeCell="S8" sqref="C8:S22"/>
    </sheetView>
  </sheetViews>
  <sheetFormatPr defaultColWidth="9.140625" defaultRowHeight="12.75" x14ac:dyDescent="0.2"/>
  <cols>
    <col min="1" max="1" width="10.5703125" style="22" bestFit="1" customWidth="1"/>
    <col min="2" max="2" width="95" style="22" customWidth="1"/>
    <col min="3" max="3" width="13.85546875" style="22" customWidth="1"/>
    <col min="4" max="4" width="13.28515625" style="22" bestFit="1" customWidth="1"/>
    <col min="5" max="5" width="14" style="22" customWidth="1"/>
    <col min="6" max="6" width="13.28515625" style="22" bestFit="1" customWidth="1"/>
    <col min="7" max="7" width="62.140625" style="22" customWidth="1"/>
    <col min="8" max="8" width="13.28515625" style="22" bestFit="1" customWidth="1"/>
    <col min="9" max="9" width="12.42578125" style="22" customWidth="1"/>
    <col min="10" max="10" width="13.28515625" style="22" bestFit="1" customWidth="1"/>
    <col min="11" max="11" width="11.5703125" style="22" customWidth="1"/>
    <col min="12" max="12" width="13.28515625" style="22" bestFit="1" customWidth="1"/>
    <col min="13" max="13" width="13.42578125" style="22" customWidth="1"/>
    <col min="14" max="14" width="13.28515625" style="22" bestFit="1" customWidth="1"/>
    <col min="15" max="15" width="14" style="22" customWidth="1"/>
    <col min="16" max="16" width="13.28515625" style="22" bestFit="1" customWidth="1"/>
    <col min="17" max="17" width="13" style="22" customWidth="1"/>
    <col min="18" max="18" width="14" style="22" customWidth="1"/>
    <col min="19" max="19" width="31.5703125" style="22" bestFit="1" customWidth="1"/>
    <col min="20" max="16384" width="9.140625" style="219"/>
  </cols>
  <sheetData>
    <row r="1" spans="1:19" x14ac:dyDescent="0.2">
      <c r="A1" s="22" t="s">
        <v>41</v>
      </c>
      <c r="B1" s="22" t="str">
        <f>Info!C2</f>
        <v>სს სილქ ბანკი</v>
      </c>
    </row>
    <row r="2" spans="1:19" x14ac:dyDescent="0.2">
      <c r="A2" s="22" t="s">
        <v>42</v>
      </c>
      <c r="B2" s="26">
        <f>'1. key ratios'!B2</f>
        <v>45291</v>
      </c>
    </row>
    <row r="4" spans="1:19" ht="40.5" customHeight="1" thickBot="1" x14ac:dyDescent="0.25">
      <c r="A4" s="320" t="s">
        <v>388</v>
      </c>
      <c r="B4" s="429" t="s">
        <v>389</v>
      </c>
    </row>
    <row r="5" spans="1:19" x14ac:dyDescent="0.2">
      <c r="A5" s="430"/>
      <c r="B5" s="431"/>
      <c r="C5" s="432" t="s">
        <v>288</v>
      </c>
      <c r="D5" s="432" t="s">
        <v>289</v>
      </c>
      <c r="E5" s="432" t="s">
        <v>290</v>
      </c>
      <c r="F5" s="432" t="s">
        <v>390</v>
      </c>
      <c r="G5" s="432" t="s">
        <v>391</v>
      </c>
      <c r="H5" s="432" t="s">
        <v>392</v>
      </c>
      <c r="I5" s="432" t="s">
        <v>393</v>
      </c>
      <c r="J5" s="432" t="s">
        <v>394</v>
      </c>
      <c r="K5" s="432" t="s">
        <v>395</v>
      </c>
      <c r="L5" s="432" t="s">
        <v>396</v>
      </c>
      <c r="M5" s="432" t="s">
        <v>397</v>
      </c>
      <c r="N5" s="432" t="s">
        <v>398</v>
      </c>
      <c r="O5" s="432" t="s">
        <v>399</v>
      </c>
      <c r="P5" s="432" t="s">
        <v>400</v>
      </c>
      <c r="Q5" s="432" t="s">
        <v>401</v>
      </c>
      <c r="R5" s="433" t="s">
        <v>402</v>
      </c>
      <c r="S5" s="434" t="s">
        <v>403</v>
      </c>
    </row>
    <row r="6" spans="1:19" ht="46.5" customHeight="1" x14ac:dyDescent="0.2">
      <c r="A6" s="435"/>
      <c r="B6" s="436" t="s">
        <v>404</v>
      </c>
      <c r="C6" s="437">
        <v>0</v>
      </c>
      <c r="D6" s="438"/>
      <c r="E6" s="437">
        <v>0.2</v>
      </c>
      <c r="F6" s="438"/>
      <c r="G6" s="437">
        <v>0.35</v>
      </c>
      <c r="H6" s="438"/>
      <c r="I6" s="437">
        <v>0.5</v>
      </c>
      <c r="J6" s="438"/>
      <c r="K6" s="437">
        <v>0.75</v>
      </c>
      <c r="L6" s="438"/>
      <c r="M6" s="437">
        <v>1</v>
      </c>
      <c r="N6" s="438"/>
      <c r="O6" s="437">
        <v>1.5</v>
      </c>
      <c r="P6" s="438"/>
      <c r="Q6" s="437">
        <v>2.5</v>
      </c>
      <c r="R6" s="438"/>
      <c r="S6" s="439" t="s">
        <v>405</v>
      </c>
    </row>
    <row r="7" spans="1:19" x14ac:dyDescent="0.2">
      <c r="A7" s="435"/>
      <c r="B7" s="440"/>
      <c r="C7" s="441" t="s">
        <v>406</v>
      </c>
      <c r="D7" s="441" t="s">
        <v>407</v>
      </c>
      <c r="E7" s="441" t="s">
        <v>406</v>
      </c>
      <c r="F7" s="441" t="s">
        <v>407</v>
      </c>
      <c r="G7" s="441" t="s">
        <v>406</v>
      </c>
      <c r="H7" s="441" t="s">
        <v>407</v>
      </c>
      <c r="I7" s="441" t="s">
        <v>406</v>
      </c>
      <c r="J7" s="441" t="s">
        <v>407</v>
      </c>
      <c r="K7" s="441" t="s">
        <v>406</v>
      </c>
      <c r="L7" s="441" t="s">
        <v>407</v>
      </c>
      <c r="M7" s="441" t="s">
        <v>406</v>
      </c>
      <c r="N7" s="441" t="s">
        <v>407</v>
      </c>
      <c r="O7" s="441" t="s">
        <v>406</v>
      </c>
      <c r="P7" s="441" t="s">
        <v>407</v>
      </c>
      <c r="Q7" s="441" t="s">
        <v>406</v>
      </c>
      <c r="R7" s="441" t="s">
        <v>407</v>
      </c>
      <c r="S7" s="442"/>
    </row>
    <row r="8" spans="1:19" x14ac:dyDescent="0.2">
      <c r="A8" s="443">
        <v>1</v>
      </c>
      <c r="B8" s="444" t="s">
        <v>408</v>
      </c>
      <c r="C8" s="445">
        <v>25182449.868560866</v>
      </c>
      <c r="D8" s="445"/>
      <c r="E8" s="445">
        <v>0</v>
      </c>
      <c r="F8" s="446"/>
      <c r="G8" s="445">
        <v>0</v>
      </c>
      <c r="H8" s="445"/>
      <c r="I8" s="445">
        <v>0</v>
      </c>
      <c r="J8" s="445"/>
      <c r="K8" s="445">
        <v>0</v>
      </c>
      <c r="L8" s="445"/>
      <c r="M8" s="445">
        <v>2871077.0599999917</v>
      </c>
      <c r="N8" s="445"/>
      <c r="O8" s="445">
        <v>0</v>
      </c>
      <c r="P8" s="445"/>
      <c r="Q8" s="445">
        <v>0</v>
      </c>
      <c r="R8" s="446"/>
      <c r="S8" s="447">
        <f>$C$6*SUM(C8:D8)+$E$6*SUM(E8:F8)+$G$6*SUM(G8:H8)+$I$6*SUM(I8:J8)+$K$6*SUM(K8:L8)+$M$6*SUM(M8:N8)+$O$6*SUM(O8:P8)+$Q$6*SUM(Q8:R8)</f>
        <v>2871077.0599999917</v>
      </c>
    </row>
    <row r="9" spans="1:19" x14ac:dyDescent="0.2">
      <c r="A9" s="443">
        <v>2</v>
      </c>
      <c r="B9" s="444" t="s">
        <v>409</v>
      </c>
      <c r="C9" s="445">
        <v>0</v>
      </c>
      <c r="D9" s="445"/>
      <c r="E9" s="445">
        <v>0</v>
      </c>
      <c r="F9" s="445"/>
      <c r="G9" s="445">
        <v>0</v>
      </c>
      <c r="H9" s="445"/>
      <c r="I9" s="445">
        <v>0</v>
      </c>
      <c r="J9" s="445"/>
      <c r="K9" s="445">
        <v>0</v>
      </c>
      <c r="L9" s="445"/>
      <c r="M9" s="445">
        <v>0</v>
      </c>
      <c r="N9" s="445"/>
      <c r="O9" s="445">
        <v>0</v>
      </c>
      <c r="P9" s="445"/>
      <c r="Q9" s="445">
        <v>0</v>
      </c>
      <c r="R9" s="446"/>
      <c r="S9" s="447">
        <f t="shared" ref="S9:S21" si="0">$C$6*SUM(C9:D9)+$E$6*SUM(E9:F9)+$G$6*SUM(G9:H9)+$I$6*SUM(I9:J9)+$K$6*SUM(K9:L9)+$M$6*SUM(M9:N9)+$O$6*SUM(O9:P9)+$Q$6*SUM(Q9:R9)</f>
        <v>0</v>
      </c>
    </row>
    <row r="10" spans="1:19" x14ac:dyDescent="0.2">
      <c r="A10" s="443">
        <v>3</v>
      </c>
      <c r="B10" s="444" t="s">
        <v>410</v>
      </c>
      <c r="C10" s="445">
        <v>0</v>
      </c>
      <c r="D10" s="445"/>
      <c r="E10" s="445">
        <v>0</v>
      </c>
      <c r="F10" s="445"/>
      <c r="G10" s="445">
        <v>0</v>
      </c>
      <c r="H10" s="445"/>
      <c r="I10" s="445">
        <v>0</v>
      </c>
      <c r="J10" s="445"/>
      <c r="K10" s="445">
        <v>0</v>
      </c>
      <c r="L10" s="445"/>
      <c r="M10" s="445">
        <v>0</v>
      </c>
      <c r="N10" s="445"/>
      <c r="O10" s="445">
        <v>0</v>
      </c>
      <c r="P10" s="445"/>
      <c r="Q10" s="445">
        <v>0</v>
      </c>
      <c r="R10" s="446"/>
      <c r="S10" s="447">
        <f t="shared" si="0"/>
        <v>0</v>
      </c>
    </row>
    <row r="11" spans="1:19" x14ac:dyDescent="0.2">
      <c r="A11" s="443">
        <v>4</v>
      </c>
      <c r="B11" s="444" t="s">
        <v>411</v>
      </c>
      <c r="C11" s="445">
        <v>0</v>
      </c>
      <c r="D11" s="445"/>
      <c r="E11" s="445">
        <v>0</v>
      </c>
      <c r="F11" s="445"/>
      <c r="G11" s="445">
        <v>0</v>
      </c>
      <c r="H11" s="445"/>
      <c r="I11" s="445">
        <v>0</v>
      </c>
      <c r="J11" s="445"/>
      <c r="K11" s="445">
        <v>0</v>
      </c>
      <c r="L11" s="445"/>
      <c r="M11" s="445">
        <v>0</v>
      </c>
      <c r="N11" s="445"/>
      <c r="O11" s="445">
        <v>0</v>
      </c>
      <c r="P11" s="445"/>
      <c r="Q11" s="445">
        <v>0</v>
      </c>
      <c r="R11" s="446"/>
      <c r="S11" s="447">
        <f t="shared" si="0"/>
        <v>0</v>
      </c>
    </row>
    <row r="12" spans="1:19" x14ac:dyDescent="0.2">
      <c r="A12" s="443">
        <v>5</v>
      </c>
      <c r="B12" s="444" t="s">
        <v>412</v>
      </c>
      <c r="C12" s="445">
        <v>0</v>
      </c>
      <c r="D12" s="445"/>
      <c r="E12" s="445">
        <v>0</v>
      </c>
      <c r="F12" s="445"/>
      <c r="G12" s="445">
        <v>0</v>
      </c>
      <c r="H12" s="445"/>
      <c r="I12" s="445">
        <v>0</v>
      </c>
      <c r="J12" s="445"/>
      <c r="K12" s="445">
        <v>0</v>
      </c>
      <c r="L12" s="445"/>
      <c r="M12" s="445">
        <v>0</v>
      </c>
      <c r="N12" s="445"/>
      <c r="O12" s="445">
        <v>0</v>
      </c>
      <c r="P12" s="445"/>
      <c r="Q12" s="445">
        <v>0</v>
      </c>
      <c r="R12" s="446"/>
      <c r="S12" s="447">
        <f t="shared" si="0"/>
        <v>0</v>
      </c>
    </row>
    <row r="13" spans="1:19" x14ac:dyDescent="0.2">
      <c r="A13" s="443">
        <v>6</v>
      </c>
      <c r="B13" s="444" t="s">
        <v>413</v>
      </c>
      <c r="C13" s="445">
        <v>0</v>
      </c>
      <c r="D13" s="445"/>
      <c r="E13" s="445">
        <v>40166525.341618888</v>
      </c>
      <c r="F13" s="445"/>
      <c r="G13" s="445">
        <v>0</v>
      </c>
      <c r="H13" s="445"/>
      <c r="I13" s="445">
        <v>0</v>
      </c>
      <c r="J13" s="445"/>
      <c r="K13" s="445">
        <v>0</v>
      </c>
      <c r="L13" s="445"/>
      <c r="M13" s="445">
        <v>8470047.6300000399</v>
      </c>
      <c r="N13" s="445"/>
      <c r="O13" s="445">
        <v>0</v>
      </c>
      <c r="P13" s="445"/>
      <c r="Q13" s="445">
        <v>0</v>
      </c>
      <c r="R13" s="446"/>
      <c r="S13" s="447">
        <f t="shared" si="0"/>
        <v>16503352.698323818</v>
      </c>
    </row>
    <row r="14" spans="1:19" x14ac:dyDescent="0.2">
      <c r="A14" s="443">
        <v>7</v>
      </c>
      <c r="B14" s="444" t="s">
        <v>414</v>
      </c>
      <c r="C14" s="445">
        <v>0</v>
      </c>
      <c r="D14" s="445"/>
      <c r="E14" s="445">
        <v>0</v>
      </c>
      <c r="F14" s="445"/>
      <c r="G14" s="445">
        <v>0</v>
      </c>
      <c r="H14" s="445"/>
      <c r="I14" s="445">
        <v>0</v>
      </c>
      <c r="J14" s="445"/>
      <c r="K14" s="445">
        <v>0</v>
      </c>
      <c r="L14" s="445"/>
      <c r="M14" s="445">
        <v>41186625</v>
      </c>
      <c r="N14" s="445">
        <v>4279663.7597029284</v>
      </c>
      <c r="O14" s="445">
        <v>0</v>
      </c>
      <c r="P14" s="445"/>
      <c r="Q14" s="445">
        <v>0</v>
      </c>
      <c r="R14" s="446"/>
      <c r="S14" s="447">
        <f t="shared" si="0"/>
        <v>45466288.759702928</v>
      </c>
    </row>
    <row r="15" spans="1:19" x14ac:dyDescent="0.2">
      <c r="A15" s="443">
        <v>8</v>
      </c>
      <c r="B15" s="448" t="s">
        <v>415</v>
      </c>
      <c r="C15" s="445">
        <v>0</v>
      </c>
      <c r="D15" s="445"/>
      <c r="E15" s="445">
        <v>0</v>
      </c>
      <c r="F15" s="445"/>
      <c r="G15" s="445">
        <v>0</v>
      </c>
      <c r="H15" s="445"/>
      <c r="I15" s="445">
        <v>0</v>
      </c>
      <c r="J15" s="445"/>
      <c r="K15" s="445">
        <v>0</v>
      </c>
      <c r="L15" s="445"/>
      <c r="M15" s="445">
        <v>14464497.560000001</v>
      </c>
      <c r="N15" s="445"/>
      <c r="O15" s="445">
        <v>0</v>
      </c>
      <c r="P15" s="445"/>
      <c r="Q15" s="445">
        <v>0</v>
      </c>
      <c r="R15" s="446"/>
      <c r="S15" s="447">
        <f t="shared" si="0"/>
        <v>14464497.560000001</v>
      </c>
    </row>
    <row r="16" spans="1:19" x14ac:dyDescent="0.2">
      <c r="A16" s="443">
        <v>9</v>
      </c>
      <c r="B16" s="448" t="s">
        <v>416</v>
      </c>
      <c r="C16" s="445">
        <v>0</v>
      </c>
      <c r="D16" s="445"/>
      <c r="E16" s="445">
        <v>0</v>
      </c>
      <c r="F16" s="445"/>
      <c r="G16" s="445">
        <v>0</v>
      </c>
      <c r="H16" s="445"/>
      <c r="I16" s="445">
        <v>0</v>
      </c>
      <c r="J16" s="445"/>
      <c r="K16" s="445">
        <v>0</v>
      </c>
      <c r="L16" s="445"/>
      <c r="M16" s="445">
        <v>0</v>
      </c>
      <c r="N16" s="445"/>
      <c r="O16" s="445">
        <v>0</v>
      </c>
      <c r="P16" s="445"/>
      <c r="Q16" s="445">
        <v>0</v>
      </c>
      <c r="R16" s="446"/>
      <c r="S16" s="447">
        <f t="shared" si="0"/>
        <v>0</v>
      </c>
    </row>
    <row r="17" spans="1:19" x14ac:dyDescent="0.2">
      <c r="A17" s="443">
        <v>10</v>
      </c>
      <c r="B17" s="448" t="s">
        <v>417</v>
      </c>
      <c r="C17" s="445">
        <v>0</v>
      </c>
      <c r="D17" s="445"/>
      <c r="E17" s="445">
        <v>0</v>
      </c>
      <c r="F17" s="445"/>
      <c r="G17" s="445">
        <v>0</v>
      </c>
      <c r="H17" s="445"/>
      <c r="I17" s="445">
        <v>0</v>
      </c>
      <c r="J17" s="445"/>
      <c r="K17" s="445">
        <v>0</v>
      </c>
      <c r="L17" s="445"/>
      <c r="M17" s="445">
        <v>434716.09</v>
      </c>
      <c r="N17" s="445"/>
      <c r="O17" s="445">
        <v>0</v>
      </c>
      <c r="P17" s="445"/>
      <c r="Q17" s="445">
        <v>0</v>
      </c>
      <c r="R17" s="446"/>
      <c r="S17" s="447">
        <f t="shared" si="0"/>
        <v>434716.09</v>
      </c>
    </row>
    <row r="18" spans="1:19" x14ac:dyDescent="0.2">
      <c r="A18" s="443">
        <v>11</v>
      </c>
      <c r="B18" s="448" t="s">
        <v>418</v>
      </c>
      <c r="C18" s="445">
        <v>0</v>
      </c>
      <c r="D18" s="445"/>
      <c r="E18" s="445">
        <v>0</v>
      </c>
      <c r="F18" s="445"/>
      <c r="G18" s="445">
        <v>0</v>
      </c>
      <c r="H18" s="445"/>
      <c r="I18" s="445">
        <v>0</v>
      </c>
      <c r="J18" s="445"/>
      <c r="K18" s="445">
        <v>0</v>
      </c>
      <c r="L18" s="445"/>
      <c r="M18" s="445">
        <v>0</v>
      </c>
      <c r="N18" s="445"/>
      <c r="O18" s="445">
        <v>0</v>
      </c>
      <c r="P18" s="445"/>
      <c r="Q18" s="445">
        <v>0</v>
      </c>
      <c r="R18" s="446"/>
      <c r="S18" s="447">
        <f t="shared" si="0"/>
        <v>0</v>
      </c>
    </row>
    <row r="19" spans="1:19" x14ac:dyDescent="0.2">
      <c r="A19" s="443">
        <v>12</v>
      </c>
      <c r="B19" s="448" t="s">
        <v>419</v>
      </c>
      <c r="C19" s="445">
        <v>0</v>
      </c>
      <c r="D19" s="445"/>
      <c r="E19" s="445">
        <v>0</v>
      </c>
      <c r="F19" s="445"/>
      <c r="G19" s="445">
        <v>0</v>
      </c>
      <c r="H19" s="445"/>
      <c r="I19" s="445">
        <v>0</v>
      </c>
      <c r="J19" s="445"/>
      <c r="K19" s="445">
        <v>0</v>
      </c>
      <c r="L19" s="445"/>
      <c r="M19" s="445">
        <v>0</v>
      </c>
      <c r="N19" s="445"/>
      <c r="O19" s="445">
        <v>0</v>
      </c>
      <c r="P19" s="445"/>
      <c r="Q19" s="445">
        <v>0</v>
      </c>
      <c r="R19" s="446"/>
      <c r="S19" s="447">
        <f t="shared" si="0"/>
        <v>0</v>
      </c>
    </row>
    <row r="20" spans="1:19" x14ac:dyDescent="0.2">
      <c r="A20" s="443">
        <v>13</v>
      </c>
      <c r="B20" s="448" t="s">
        <v>420</v>
      </c>
      <c r="C20" s="445">
        <v>0</v>
      </c>
      <c r="D20" s="445"/>
      <c r="E20" s="445">
        <v>0</v>
      </c>
      <c r="F20" s="445"/>
      <c r="G20" s="445">
        <v>0</v>
      </c>
      <c r="H20" s="445"/>
      <c r="I20" s="445">
        <v>0</v>
      </c>
      <c r="J20" s="445"/>
      <c r="K20" s="445">
        <v>0</v>
      </c>
      <c r="L20" s="445"/>
      <c r="M20" s="445">
        <v>0</v>
      </c>
      <c r="N20" s="445"/>
      <c r="O20" s="445">
        <v>0</v>
      </c>
      <c r="P20" s="445"/>
      <c r="Q20" s="445">
        <v>0</v>
      </c>
      <c r="R20" s="446"/>
      <c r="S20" s="447">
        <f t="shared" si="0"/>
        <v>0</v>
      </c>
    </row>
    <row r="21" spans="1:19" x14ac:dyDescent="0.2">
      <c r="A21" s="443">
        <v>14</v>
      </c>
      <c r="B21" s="448" t="s">
        <v>421</v>
      </c>
      <c r="C21" s="445">
        <v>2281714.7999999998</v>
      </c>
      <c r="D21" s="445"/>
      <c r="E21" s="445">
        <v>161862.19999999995</v>
      </c>
      <c r="F21" s="445"/>
      <c r="G21" s="445">
        <v>0</v>
      </c>
      <c r="H21" s="445"/>
      <c r="I21" s="445">
        <v>0</v>
      </c>
      <c r="J21" s="445"/>
      <c r="K21" s="445">
        <v>0</v>
      </c>
      <c r="L21" s="445"/>
      <c r="M21" s="445">
        <v>30729259.772714704</v>
      </c>
      <c r="N21" s="445"/>
      <c r="O21" s="445">
        <v>0</v>
      </c>
      <c r="P21" s="445"/>
      <c r="Q21" s="445">
        <v>0</v>
      </c>
      <c r="R21" s="446"/>
      <c r="S21" s="447">
        <f t="shared" si="0"/>
        <v>30761632.212714706</v>
      </c>
    </row>
    <row r="22" spans="1:19" ht="13.5" thickBot="1" x14ac:dyDescent="0.25">
      <c r="A22" s="449"/>
      <c r="B22" s="450" t="s">
        <v>96</v>
      </c>
      <c r="C22" s="451">
        <f>SUM(C8:C21)</f>
        <v>27464164.668560866</v>
      </c>
      <c r="D22" s="451">
        <f t="shared" ref="D22:S22" si="1">SUM(D8:D21)</f>
        <v>0</v>
      </c>
      <c r="E22" s="451">
        <f t="shared" si="1"/>
        <v>40328387.541618891</v>
      </c>
      <c r="F22" s="451">
        <f t="shared" si="1"/>
        <v>0</v>
      </c>
      <c r="G22" s="451">
        <f t="shared" si="1"/>
        <v>0</v>
      </c>
      <c r="H22" s="451">
        <f t="shared" si="1"/>
        <v>0</v>
      </c>
      <c r="I22" s="451">
        <f t="shared" si="1"/>
        <v>0</v>
      </c>
      <c r="J22" s="451">
        <f t="shared" si="1"/>
        <v>0</v>
      </c>
      <c r="K22" s="451">
        <f t="shared" si="1"/>
        <v>0</v>
      </c>
      <c r="L22" s="451">
        <f t="shared" si="1"/>
        <v>0</v>
      </c>
      <c r="M22" s="451">
        <f>SUM(M8:M21)</f>
        <v>98156223.112714738</v>
      </c>
      <c r="N22" s="451">
        <f t="shared" si="1"/>
        <v>4279663.7597029284</v>
      </c>
      <c r="O22" s="451">
        <f t="shared" si="1"/>
        <v>0</v>
      </c>
      <c r="P22" s="451">
        <f t="shared" si="1"/>
        <v>0</v>
      </c>
      <c r="Q22" s="451">
        <f t="shared" si="1"/>
        <v>0</v>
      </c>
      <c r="R22" s="451">
        <f t="shared" si="1"/>
        <v>0</v>
      </c>
      <c r="S22" s="452">
        <f t="shared" si="1"/>
        <v>110501564.38074145</v>
      </c>
    </row>
    <row r="24" spans="1:19" x14ac:dyDescent="0.2">
      <c r="B24" s="848"/>
      <c r="C24" s="849"/>
      <c r="D24" s="848"/>
      <c r="E24" s="849"/>
      <c r="F24" s="848"/>
      <c r="G24" s="849"/>
      <c r="H24" s="848"/>
      <c r="I24" s="849"/>
      <c r="J24" s="848"/>
      <c r="K24" s="849"/>
      <c r="L24" s="848"/>
      <c r="M24" s="849"/>
      <c r="N24" s="849"/>
      <c r="O24" s="849"/>
      <c r="P24" s="848"/>
      <c r="Q24" s="849"/>
      <c r="R24" s="850"/>
      <c r="S24" s="851"/>
    </row>
    <row r="25" spans="1:19" x14ac:dyDescent="0.2">
      <c r="B25" s="848"/>
      <c r="C25" s="848"/>
      <c r="D25" s="848"/>
      <c r="E25" s="848"/>
      <c r="F25" s="848"/>
      <c r="G25" s="848"/>
      <c r="H25" s="848"/>
      <c r="I25" s="848"/>
      <c r="J25" s="848"/>
      <c r="K25" s="848"/>
      <c r="L25" s="848"/>
      <c r="M25" s="848"/>
      <c r="N25" s="848"/>
      <c r="O25" s="848"/>
      <c r="P25" s="848"/>
      <c r="Q25" s="848"/>
      <c r="R25" s="852"/>
      <c r="S25" s="849"/>
    </row>
    <row r="26" spans="1:19" x14ac:dyDescent="0.2">
      <c r="B26" s="848"/>
      <c r="C26" s="848"/>
      <c r="D26" s="848"/>
      <c r="E26" s="848"/>
      <c r="F26" s="848"/>
      <c r="G26" s="848"/>
      <c r="H26" s="848"/>
      <c r="I26" s="848"/>
      <c r="J26" s="848"/>
      <c r="K26" s="848"/>
      <c r="L26" s="848"/>
      <c r="M26" s="848"/>
      <c r="N26" s="848"/>
      <c r="O26" s="848"/>
      <c r="P26" s="848"/>
      <c r="Q26" s="848"/>
      <c r="R26" s="849"/>
      <c r="S26" s="848"/>
    </row>
    <row r="27" spans="1:19" x14ac:dyDescent="0.2">
      <c r="B27" s="848"/>
      <c r="C27" s="848"/>
      <c r="D27" s="848"/>
      <c r="E27" s="848"/>
      <c r="F27" s="848"/>
      <c r="G27" s="848"/>
      <c r="H27" s="848"/>
      <c r="I27" s="848"/>
      <c r="J27" s="848"/>
      <c r="K27" s="848"/>
      <c r="L27" s="848"/>
      <c r="M27" s="848"/>
      <c r="N27" s="848"/>
      <c r="O27" s="848"/>
      <c r="P27" s="848"/>
      <c r="Q27" s="848"/>
      <c r="R27" s="848"/>
      <c r="S27" s="848"/>
    </row>
  </sheetData>
  <mergeCells count="10">
    <mergeCell ref="M6:N6"/>
    <mergeCell ref="O6:P6"/>
    <mergeCell ref="Q6:R6"/>
    <mergeCell ref="S6:S7"/>
    <mergeCell ref="B6:B7"/>
    <mergeCell ref="C6:D6"/>
    <mergeCell ref="E6:F6"/>
    <mergeCell ref="G6:H6"/>
    <mergeCell ref="I6:J6"/>
    <mergeCell ref="K6:L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555D1-308E-4610-99F7-DE4554794325}">
  <dimension ref="A1:V28"/>
  <sheetViews>
    <sheetView zoomScale="90" zoomScaleNormal="90" workbookViewId="0">
      <pane xSplit="2" ySplit="6" topLeftCell="C7" activePane="bottomRight" state="frozen"/>
      <selection activeCell="J35" sqref="J35"/>
      <selection pane="topRight" activeCell="J35" sqref="J35"/>
      <selection pane="bottomLeft" activeCell="J35" sqref="J35"/>
      <selection pane="bottomRight" activeCell="A26" sqref="A26"/>
    </sheetView>
  </sheetViews>
  <sheetFormatPr defaultColWidth="9.140625" defaultRowHeight="12.75" x14ac:dyDescent="0.2"/>
  <cols>
    <col min="1" max="1" width="10.5703125" style="22" bestFit="1" customWidth="1"/>
    <col min="2" max="2" width="74.5703125" style="22" customWidth="1"/>
    <col min="3" max="3" width="19" style="22" customWidth="1"/>
    <col min="4" max="4" width="19.5703125" style="22" customWidth="1"/>
    <col min="5" max="5" width="31.140625" style="22" customWidth="1"/>
    <col min="6" max="6" width="29.140625" style="22" customWidth="1"/>
    <col min="7" max="7" width="62.140625" style="22" customWidth="1"/>
    <col min="8" max="8" width="26.42578125" style="22" customWidth="1"/>
    <col min="9" max="9" width="23.7109375" style="22" customWidth="1"/>
    <col min="10" max="10" width="21.5703125" style="22" customWidth="1"/>
    <col min="11" max="11" width="15.7109375" style="22" customWidth="1"/>
    <col min="12" max="12" width="13.28515625" style="22" customWidth="1"/>
    <col min="13" max="13" width="20.85546875" style="22" customWidth="1"/>
    <col min="14" max="14" width="19.28515625" style="22" customWidth="1"/>
    <col min="15" max="15" width="18.42578125" style="22" customWidth="1"/>
    <col min="16" max="16" width="19" style="22" customWidth="1"/>
    <col min="17" max="17" width="20.28515625" style="22" customWidth="1"/>
    <col min="18" max="18" width="18" style="22" customWidth="1"/>
    <col min="19" max="19" width="36" style="22" customWidth="1"/>
    <col min="20" max="20" width="19.42578125" style="22" customWidth="1"/>
    <col min="21" max="21" width="19.140625" style="22" customWidth="1"/>
    <col min="22" max="22" width="20" style="22" customWidth="1"/>
    <col min="23" max="16384" width="9.140625" style="219"/>
  </cols>
  <sheetData>
    <row r="1" spans="1:22" x14ac:dyDescent="0.2">
      <c r="A1" s="22" t="s">
        <v>41</v>
      </c>
      <c r="B1" s="22" t="str">
        <f>Info!C2</f>
        <v>სს სილქ ბანკი</v>
      </c>
    </row>
    <row r="2" spans="1:22" x14ac:dyDescent="0.2">
      <c r="A2" s="22" t="s">
        <v>42</v>
      </c>
      <c r="B2" s="26">
        <f>'1. key ratios'!B2</f>
        <v>45291</v>
      </c>
    </row>
    <row r="4" spans="1:22" ht="40.5" customHeight="1" thickBot="1" x14ac:dyDescent="0.35">
      <c r="A4" s="22" t="s">
        <v>422</v>
      </c>
      <c r="B4" s="429" t="s">
        <v>423</v>
      </c>
      <c r="V4" s="388" t="s">
        <v>238</v>
      </c>
    </row>
    <row r="5" spans="1:22" x14ac:dyDescent="0.2">
      <c r="A5" s="453"/>
      <c r="B5" s="454"/>
      <c r="C5" s="455" t="s">
        <v>424</v>
      </c>
      <c r="D5" s="456"/>
      <c r="E5" s="456"/>
      <c r="F5" s="456"/>
      <c r="G5" s="456"/>
      <c r="H5" s="456"/>
      <c r="I5" s="456"/>
      <c r="J5" s="456"/>
      <c r="K5" s="456"/>
      <c r="L5" s="457"/>
      <c r="M5" s="455" t="s">
        <v>425</v>
      </c>
      <c r="N5" s="456"/>
      <c r="O5" s="456"/>
      <c r="P5" s="456"/>
      <c r="Q5" s="456"/>
      <c r="R5" s="456"/>
      <c r="S5" s="457"/>
      <c r="T5" s="458" t="s">
        <v>426</v>
      </c>
      <c r="U5" s="458" t="s">
        <v>427</v>
      </c>
      <c r="V5" s="459" t="s">
        <v>428</v>
      </c>
    </row>
    <row r="6" spans="1:22" s="320" customFormat="1" ht="127.5" x14ac:dyDescent="0.25">
      <c r="A6" s="306"/>
      <c r="B6" s="460"/>
      <c r="C6" s="461" t="s">
        <v>429</v>
      </c>
      <c r="D6" s="462" t="s">
        <v>430</v>
      </c>
      <c r="E6" s="463" t="s">
        <v>431</v>
      </c>
      <c r="F6" s="463" t="s">
        <v>432</v>
      </c>
      <c r="G6" s="462" t="s">
        <v>433</v>
      </c>
      <c r="H6" s="462" t="s">
        <v>434</v>
      </c>
      <c r="I6" s="462" t="s">
        <v>435</v>
      </c>
      <c r="J6" s="462" t="s">
        <v>436</v>
      </c>
      <c r="K6" s="462" t="s">
        <v>437</v>
      </c>
      <c r="L6" s="464" t="s">
        <v>438</v>
      </c>
      <c r="M6" s="461" t="s">
        <v>439</v>
      </c>
      <c r="N6" s="462" t="s">
        <v>440</v>
      </c>
      <c r="O6" s="462" t="s">
        <v>441</v>
      </c>
      <c r="P6" s="462" t="s">
        <v>442</v>
      </c>
      <c r="Q6" s="462" t="s">
        <v>443</v>
      </c>
      <c r="R6" s="462" t="s">
        <v>444</v>
      </c>
      <c r="S6" s="464" t="s">
        <v>445</v>
      </c>
      <c r="T6" s="465"/>
      <c r="U6" s="465"/>
      <c r="V6" s="466"/>
    </row>
    <row r="7" spans="1:22" x14ac:dyDescent="0.2">
      <c r="A7" s="467">
        <v>1</v>
      </c>
      <c r="B7" s="468" t="s">
        <v>408</v>
      </c>
      <c r="C7" s="469">
        <v>0</v>
      </c>
      <c r="D7" s="445">
        <v>0</v>
      </c>
      <c r="E7" s="445">
        <v>0</v>
      </c>
      <c r="F7" s="445">
        <v>0</v>
      </c>
      <c r="G7" s="445">
        <v>0</v>
      </c>
      <c r="H7" s="445">
        <v>0</v>
      </c>
      <c r="I7" s="445">
        <v>0</v>
      </c>
      <c r="J7" s="445">
        <v>0</v>
      </c>
      <c r="K7" s="445">
        <v>0</v>
      </c>
      <c r="L7" s="470">
        <v>0</v>
      </c>
      <c r="M7" s="469">
        <v>0</v>
      </c>
      <c r="N7" s="445">
        <v>0</v>
      </c>
      <c r="O7" s="445">
        <v>0</v>
      </c>
      <c r="P7" s="445">
        <v>0</v>
      </c>
      <c r="Q7" s="445">
        <v>0</v>
      </c>
      <c r="R7" s="445">
        <v>0</v>
      </c>
      <c r="S7" s="470">
        <v>0</v>
      </c>
      <c r="T7" s="471">
        <v>0</v>
      </c>
      <c r="U7" s="472">
        <v>0</v>
      </c>
      <c r="V7" s="473">
        <f>SUM(C7:U7)</f>
        <v>0</v>
      </c>
    </row>
    <row r="8" spans="1:22" x14ac:dyDescent="0.2">
      <c r="A8" s="467">
        <v>2</v>
      </c>
      <c r="B8" s="468" t="s">
        <v>409</v>
      </c>
      <c r="C8" s="469">
        <v>0</v>
      </c>
      <c r="D8" s="445">
        <v>0</v>
      </c>
      <c r="E8" s="445">
        <v>0</v>
      </c>
      <c r="F8" s="445">
        <v>0</v>
      </c>
      <c r="G8" s="445">
        <v>0</v>
      </c>
      <c r="H8" s="445">
        <v>0</v>
      </c>
      <c r="I8" s="445">
        <v>0</v>
      </c>
      <c r="J8" s="445">
        <v>0</v>
      </c>
      <c r="K8" s="445">
        <v>0</v>
      </c>
      <c r="L8" s="470">
        <v>0</v>
      </c>
      <c r="M8" s="469">
        <v>0</v>
      </c>
      <c r="N8" s="445">
        <v>0</v>
      </c>
      <c r="O8" s="445">
        <v>0</v>
      </c>
      <c r="P8" s="445">
        <v>0</v>
      </c>
      <c r="Q8" s="445">
        <v>0</v>
      </c>
      <c r="R8" s="445">
        <v>0</v>
      </c>
      <c r="S8" s="470">
        <v>0</v>
      </c>
      <c r="T8" s="472">
        <v>0</v>
      </c>
      <c r="U8" s="472">
        <v>0</v>
      </c>
      <c r="V8" s="473">
        <f>SUM(C8:S8)</f>
        <v>0</v>
      </c>
    </row>
    <row r="9" spans="1:22" x14ac:dyDescent="0.2">
      <c r="A9" s="467">
        <v>3</v>
      </c>
      <c r="B9" s="468" t="s">
        <v>410</v>
      </c>
      <c r="C9" s="469">
        <v>0</v>
      </c>
      <c r="D9" s="445">
        <v>0</v>
      </c>
      <c r="E9" s="445">
        <v>0</v>
      </c>
      <c r="F9" s="445">
        <v>0</v>
      </c>
      <c r="G9" s="445">
        <v>0</v>
      </c>
      <c r="H9" s="445">
        <v>0</v>
      </c>
      <c r="I9" s="445">
        <v>0</v>
      </c>
      <c r="J9" s="445">
        <v>0</v>
      </c>
      <c r="K9" s="445">
        <v>0</v>
      </c>
      <c r="L9" s="470">
        <v>0</v>
      </c>
      <c r="M9" s="469">
        <v>0</v>
      </c>
      <c r="N9" s="445">
        <v>0</v>
      </c>
      <c r="O9" s="445">
        <v>0</v>
      </c>
      <c r="P9" s="445">
        <v>0</v>
      </c>
      <c r="Q9" s="445">
        <v>0</v>
      </c>
      <c r="R9" s="445">
        <v>0</v>
      </c>
      <c r="S9" s="470">
        <v>0</v>
      </c>
      <c r="T9" s="472">
        <v>0</v>
      </c>
      <c r="U9" s="472">
        <v>0</v>
      </c>
      <c r="V9" s="473">
        <f t="shared" ref="V9:V20" si="0">SUM(C9:U9)</f>
        <v>0</v>
      </c>
    </row>
    <row r="10" spans="1:22" x14ac:dyDescent="0.2">
      <c r="A10" s="467">
        <v>4</v>
      </c>
      <c r="B10" s="468" t="s">
        <v>411</v>
      </c>
      <c r="C10" s="469">
        <v>0</v>
      </c>
      <c r="D10" s="445">
        <v>0</v>
      </c>
      <c r="E10" s="445">
        <v>0</v>
      </c>
      <c r="F10" s="445">
        <v>0</v>
      </c>
      <c r="G10" s="445">
        <v>0</v>
      </c>
      <c r="H10" s="445">
        <v>0</v>
      </c>
      <c r="I10" s="445">
        <v>0</v>
      </c>
      <c r="J10" s="445">
        <v>0</v>
      </c>
      <c r="K10" s="445">
        <v>0</v>
      </c>
      <c r="L10" s="470">
        <v>0</v>
      </c>
      <c r="M10" s="469">
        <v>0</v>
      </c>
      <c r="N10" s="445">
        <v>0</v>
      </c>
      <c r="O10" s="445">
        <v>0</v>
      </c>
      <c r="P10" s="445">
        <v>0</v>
      </c>
      <c r="Q10" s="445">
        <v>0</v>
      </c>
      <c r="R10" s="445">
        <v>0</v>
      </c>
      <c r="S10" s="470">
        <v>0</v>
      </c>
      <c r="T10" s="472">
        <v>0</v>
      </c>
      <c r="U10" s="472">
        <v>0</v>
      </c>
      <c r="V10" s="473">
        <f t="shared" si="0"/>
        <v>0</v>
      </c>
    </row>
    <row r="11" spans="1:22" x14ac:dyDescent="0.2">
      <c r="A11" s="467">
        <v>5</v>
      </c>
      <c r="B11" s="468" t="s">
        <v>412</v>
      </c>
      <c r="C11" s="469">
        <v>0</v>
      </c>
      <c r="D11" s="445">
        <v>0</v>
      </c>
      <c r="E11" s="445">
        <v>0</v>
      </c>
      <c r="F11" s="445">
        <v>0</v>
      </c>
      <c r="G11" s="445">
        <v>0</v>
      </c>
      <c r="H11" s="445">
        <v>0</v>
      </c>
      <c r="I11" s="445">
        <v>0</v>
      </c>
      <c r="J11" s="445">
        <v>0</v>
      </c>
      <c r="K11" s="445">
        <v>0</v>
      </c>
      <c r="L11" s="470">
        <v>0</v>
      </c>
      <c r="M11" s="469">
        <v>0</v>
      </c>
      <c r="N11" s="445">
        <v>0</v>
      </c>
      <c r="O11" s="445">
        <v>0</v>
      </c>
      <c r="P11" s="445">
        <v>0</v>
      </c>
      <c r="Q11" s="445">
        <v>0</v>
      </c>
      <c r="R11" s="445">
        <v>0</v>
      </c>
      <c r="S11" s="470">
        <v>0</v>
      </c>
      <c r="T11" s="472">
        <v>0</v>
      </c>
      <c r="U11" s="472">
        <v>0</v>
      </c>
      <c r="V11" s="473">
        <f t="shared" si="0"/>
        <v>0</v>
      </c>
    </row>
    <row r="12" spans="1:22" x14ac:dyDescent="0.2">
      <c r="A12" s="467">
        <v>6</v>
      </c>
      <c r="B12" s="468" t="s">
        <v>413</v>
      </c>
      <c r="C12" s="469">
        <v>0</v>
      </c>
      <c r="D12" s="445">
        <v>0</v>
      </c>
      <c r="E12" s="445">
        <v>0</v>
      </c>
      <c r="F12" s="445">
        <v>0</v>
      </c>
      <c r="G12" s="445">
        <v>0</v>
      </c>
      <c r="H12" s="445">
        <v>0</v>
      </c>
      <c r="I12" s="445">
        <v>0</v>
      </c>
      <c r="J12" s="445">
        <v>0</v>
      </c>
      <c r="K12" s="445">
        <v>0</v>
      </c>
      <c r="L12" s="470">
        <v>0</v>
      </c>
      <c r="M12" s="469">
        <v>0</v>
      </c>
      <c r="N12" s="445">
        <v>0</v>
      </c>
      <c r="O12" s="445">
        <v>0</v>
      </c>
      <c r="P12" s="445">
        <v>0</v>
      </c>
      <c r="Q12" s="445">
        <v>0</v>
      </c>
      <c r="R12" s="445">
        <v>0</v>
      </c>
      <c r="S12" s="470">
        <v>0</v>
      </c>
      <c r="T12" s="472">
        <v>0</v>
      </c>
      <c r="U12" s="472">
        <v>0</v>
      </c>
      <c r="V12" s="473">
        <f t="shared" si="0"/>
        <v>0</v>
      </c>
    </row>
    <row r="13" spans="1:22" x14ac:dyDescent="0.2">
      <c r="A13" s="467">
        <v>7</v>
      </c>
      <c r="B13" s="468" t="s">
        <v>414</v>
      </c>
      <c r="C13" s="469">
        <v>0</v>
      </c>
      <c r="D13" s="445">
        <v>0</v>
      </c>
      <c r="E13" s="445">
        <v>0</v>
      </c>
      <c r="F13" s="445">
        <v>0</v>
      </c>
      <c r="G13" s="445">
        <v>0</v>
      </c>
      <c r="H13" s="445">
        <v>0</v>
      </c>
      <c r="I13" s="445">
        <v>0</v>
      </c>
      <c r="J13" s="445">
        <v>0</v>
      </c>
      <c r="K13" s="445">
        <v>0</v>
      </c>
      <c r="L13" s="470">
        <v>0</v>
      </c>
      <c r="M13" s="469">
        <v>0</v>
      </c>
      <c r="N13" s="445">
        <v>0</v>
      </c>
      <c r="O13" s="445">
        <v>0</v>
      </c>
      <c r="P13" s="445">
        <v>0</v>
      </c>
      <c r="Q13" s="445">
        <v>0</v>
      </c>
      <c r="R13" s="445">
        <v>0</v>
      </c>
      <c r="S13" s="470">
        <v>0</v>
      </c>
      <c r="T13" s="472">
        <v>0</v>
      </c>
      <c r="U13" s="472">
        <v>0</v>
      </c>
      <c r="V13" s="473">
        <f t="shared" si="0"/>
        <v>0</v>
      </c>
    </row>
    <row r="14" spans="1:22" x14ac:dyDescent="0.2">
      <c r="A14" s="467">
        <v>8</v>
      </c>
      <c r="B14" s="468" t="s">
        <v>415</v>
      </c>
      <c r="C14" s="469">
        <v>0</v>
      </c>
      <c r="D14" s="445">
        <v>0</v>
      </c>
      <c r="E14" s="445">
        <v>0</v>
      </c>
      <c r="F14" s="445">
        <v>0</v>
      </c>
      <c r="G14" s="445">
        <v>0</v>
      </c>
      <c r="H14" s="445">
        <v>0</v>
      </c>
      <c r="I14" s="445">
        <v>0</v>
      </c>
      <c r="J14" s="445">
        <v>0</v>
      </c>
      <c r="K14" s="445">
        <v>0</v>
      </c>
      <c r="L14" s="470">
        <v>0</v>
      </c>
      <c r="M14" s="469">
        <v>0</v>
      </c>
      <c r="N14" s="445">
        <v>0</v>
      </c>
      <c r="O14" s="445">
        <v>0</v>
      </c>
      <c r="P14" s="445">
        <v>0</v>
      </c>
      <c r="Q14" s="445">
        <v>0</v>
      </c>
      <c r="R14" s="445">
        <v>0</v>
      </c>
      <c r="S14" s="470">
        <v>0</v>
      </c>
      <c r="T14" s="472">
        <v>0</v>
      </c>
      <c r="U14" s="472">
        <v>0</v>
      </c>
      <c r="V14" s="473">
        <f t="shared" si="0"/>
        <v>0</v>
      </c>
    </row>
    <row r="15" spans="1:22" x14ac:dyDescent="0.2">
      <c r="A15" s="467">
        <v>9</v>
      </c>
      <c r="B15" s="468" t="s">
        <v>416</v>
      </c>
      <c r="C15" s="469">
        <v>0</v>
      </c>
      <c r="D15" s="445">
        <v>0</v>
      </c>
      <c r="E15" s="445">
        <v>0</v>
      </c>
      <c r="F15" s="445">
        <v>0</v>
      </c>
      <c r="G15" s="445">
        <v>0</v>
      </c>
      <c r="H15" s="445">
        <v>0</v>
      </c>
      <c r="I15" s="445">
        <v>0</v>
      </c>
      <c r="J15" s="445">
        <v>0</v>
      </c>
      <c r="K15" s="445">
        <v>0</v>
      </c>
      <c r="L15" s="470">
        <v>0</v>
      </c>
      <c r="M15" s="469">
        <v>0</v>
      </c>
      <c r="N15" s="445">
        <v>0</v>
      </c>
      <c r="O15" s="445">
        <v>0</v>
      </c>
      <c r="P15" s="445">
        <v>0</v>
      </c>
      <c r="Q15" s="445">
        <v>0</v>
      </c>
      <c r="R15" s="445">
        <v>0</v>
      </c>
      <c r="S15" s="470">
        <v>0</v>
      </c>
      <c r="T15" s="472">
        <v>0</v>
      </c>
      <c r="U15" s="472">
        <v>0</v>
      </c>
      <c r="V15" s="473">
        <f t="shared" si="0"/>
        <v>0</v>
      </c>
    </row>
    <row r="16" spans="1:22" x14ac:dyDescent="0.2">
      <c r="A16" s="467">
        <v>10</v>
      </c>
      <c r="B16" s="468" t="s">
        <v>417</v>
      </c>
      <c r="C16" s="469">
        <v>0</v>
      </c>
      <c r="D16" s="445">
        <v>0</v>
      </c>
      <c r="E16" s="445">
        <v>0</v>
      </c>
      <c r="F16" s="445">
        <v>0</v>
      </c>
      <c r="G16" s="445">
        <v>0</v>
      </c>
      <c r="H16" s="445">
        <v>0</v>
      </c>
      <c r="I16" s="445">
        <v>0</v>
      </c>
      <c r="J16" s="445">
        <v>0</v>
      </c>
      <c r="K16" s="445">
        <v>0</v>
      </c>
      <c r="L16" s="470">
        <v>0</v>
      </c>
      <c r="M16" s="469">
        <v>0</v>
      </c>
      <c r="N16" s="445">
        <v>0</v>
      </c>
      <c r="O16" s="445">
        <v>0</v>
      </c>
      <c r="P16" s="445">
        <v>0</v>
      </c>
      <c r="Q16" s="445">
        <v>0</v>
      </c>
      <c r="R16" s="445">
        <v>0</v>
      </c>
      <c r="S16" s="470">
        <v>0</v>
      </c>
      <c r="T16" s="472">
        <v>0</v>
      </c>
      <c r="U16" s="472">
        <v>0</v>
      </c>
      <c r="V16" s="473">
        <f t="shared" si="0"/>
        <v>0</v>
      </c>
    </row>
    <row r="17" spans="1:22" x14ac:dyDescent="0.2">
      <c r="A17" s="467">
        <v>11</v>
      </c>
      <c r="B17" s="468" t="s">
        <v>418</v>
      </c>
      <c r="C17" s="469">
        <v>0</v>
      </c>
      <c r="D17" s="445">
        <v>0</v>
      </c>
      <c r="E17" s="445">
        <v>0</v>
      </c>
      <c r="F17" s="445">
        <v>0</v>
      </c>
      <c r="G17" s="445">
        <v>0</v>
      </c>
      <c r="H17" s="445">
        <v>0</v>
      </c>
      <c r="I17" s="445">
        <v>0</v>
      </c>
      <c r="J17" s="445">
        <v>0</v>
      </c>
      <c r="K17" s="445">
        <v>0</v>
      </c>
      <c r="L17" s="470">
        <v>0</v>
      </c>
      <c r="M17" s="469">
        <v>0</v>
      </c>
      <c r="N17" s="445">
        <v>0</v>
      </c>
      <c r="O17" s="445">
        <v>0</v>
      </c>
      <c r="P17" s="445">
        <v>0</v>
      </c>
      <c r="Q17" s="445">
        <v>0</v>
      </c>
      <c r="R17" s="445">
        <v>0</v>
      </c>
      <c r="S17" s="470">
        <v>0</v>
      </c>
      <c r="T17" s="472">
        <v>0</v>
      </c>
      <c r="U17" s="472">
        <v>0</v>
      </c>
      <c r="V17" s="473">
        <f t="shared" si="0"/>
        <v>0</v>
      </c>
    </row>
    <row r="18" spans="1:22" x14ac:dyDescent="0.2">
      <c r="A18" s="467">
        <v>12</v>
      </c>
      <c r="B18" s="468" t="s">
        <v>419</v>
      </c>
      <c r="C18" s="469">
        <v>0</v>
      </c>
      <c r="D18" s="445">
        <v>0</v>
      </c>
      <c r="E18" s="445">
        <v>0</v>
      </c>
      <c r="F18" s="445">
        <v>0</v>
      </c>
      <c r="G18" s="445">
        <v>0</v>
      </c>
      <c r="H18" s="445">
        <v>0</v>
      </c>
      <c r="I18" s="445">
        <v>0</v>
      </c>
      <c r="J18" s="445">
        <v>0</v>
      </c>
      <c r="K18" s="445">
        <v>0</v>
      </c>
      <c r="L18" s="470">
        <v>0</v>
      </c>
      <c r="M18" s="469">
        <v>0</v>
      </c>
      <c r="N18" s="445">
        <v>0</v>
      </c>
      <c r="O18" s="445">
        <v>0</v>
      </c>
      <c r="P18" s="445">
        <v>0</v>
      </c>
      <c r="Q18" s="445">
        <v>0</v>
      </c>
      <c r="R18" s="445">
        <v>0</v>
      </c>
      <c r="S18" s="470">
        <v>0</v>
      </c>
      <c r="T18" s="472">
        <v>0</v>
      </c>
      <c r="U18" s="472">
        <v>0</v>
      </c>
      <c r="V18" s="473">
        <f t="shared" si="0"/>
        <v>0</v>
      </c>
    </row>
    <row r="19" spans="1:22" x14ac:dyDescent="0.2">
      <c r="A19" s="467">
        <v>13</v>
      </c>
      <c r="B19" s="468" t="s">
        <v>420</v>
      </c>
      <c r="C19" s="469">
        <v>0</v>
      </c>
      <c r="D19" s="445">
        <v>0</v>
      </c>
      <c r="E19" s="445">
        <v>0</v>
      </c>
      <c r="F19" s="445">
        <v>0</v>
      </c>
      <c r="G19" s="445">
        <v>0</v>
      </c>
      <c r="H19" s="445">
        <v>0</v>
      </c>
      <c r="I19" s="445">
        <v>0</v>
      </c>
      <c r="J19" s="445">
        <v>0</v>
      </c>
      <c r="K19" s="445">
        <v>0</v>
      </c>
      <c r="L19" s="470">
        <v>0</v>
      </c>
      <c r="M19" s="469">
        <v>0</v>
      </c>
      <c r="N19" s="445">
        <v>0</v>
      </c>
      <c r="O19" s="445">
        <v>0</v>
      </c>
      <c r="P19" s="445">
        <v>0</v>
      </c>
      <c r="Q19" s="445">
        <v>0</v>
      </c>
      <c r="R19" s="445">
        <v>0</v>
      </c>
      <c r="S19" s="470">
        <v>0</v>
      </c>
      <c r="T19" s="472">
        <v>0</v>
      </c>
      <c r="U19" s="472">
        <v>0</v>
      </c>
      <c r="V19" s="473">
        <f t="shared" si="0"/>
        <v>0</v>
      </c>
    </row>
    <row r="20" spans="1:22" x14ac:dyDescent="0.2">
      <c r="A20" s="467">
        <v>14</v>
      </c>
      <c r="B20" s="468" t="s">
        <v>421</v>
      </c>
      <c r="C20" s="469">
        <v>0</v>
      </c>
      <c r="D20" s="445">
        <v>0</v>
      </c>
      <c r="E20" s="445">
        <v>0</v>
      </c>
      <c r="F20" s="445">
        <v>0</v>
      </c>
      <c r="G20" s="445">
        <v>0</v>
      </c>
      <c r="H20" s="445">
        <v>0</v>
      </c>
      <c r="I20" s="445">
        <v>0</v>
      </c>
      <c r="J20" s="445">
        <v>0</v>
      </c>
      <c r="K20" s="445">
        <v>0</v>
      </c>
      <c r="L20" s="470">
        <v>0</v>
      </c>
      <c r="M20" s="469">
        <v>0</v>
      </c>
      <c r="N20" s="445">
        <v>0</v>
      </c>
      <c r="O20" s="445">
        <v>0</v>
      </c>
      <c r="P20" s="445">
        <v>0</v>
      </c>
      <c r="Q20" s="445">
        <v>0</v>
      </c>
      <c r="R20" s="445">
        <v>0</v>
      </c>
      <c r="S20" s="470">
        <v>0</v>
      </c>
      <c r="T20" s="472">
        <v>0</v>
      </c>
      <c r="U20" s="472">
        <v>0</v>
      </c>
      <c r="V20" s="473">
        <f t="shared" si="0"/>
        <v>0</v>
      </c>
    </row>
    <row r="21" spans="1:22" ht="13.5" thickBot="1" x14ac:dyDescent="0.25">
      <c r="A21" s="449"/>
      <c r="B21" s="474" t="s">
        <v>96</v>
      </c>
      <c r="C21" s="475">
        <f>SUM(C7:C20)</f>
        <v>0</v>
      </c>
      <c r="D21" s="451">
        <f t="shared" ref="D21:V21" si="1">SUM(D7:D20)</f>
        <v>0</v>
      </c>
      <c r="E21" s="451">
        <f t="shared" si="1"/>
        <v>0</v>
      </c>
      <c r="F21" s="451">
        <f t="shared" si="1"/>
        <v>0</v>
      </c>
      <c r="G21" s="451">
        <f t="shared" si="1"/>
        <v>0</v>
      </c>
      <c r="H21" s="451">
        <f t="shared" si="1"/>
        <v>0</v>
      </c>
      <c r="I21" s="451">
        <f t="shared" si="1"/>
        <v>0</v>
      </c>
      <c r="J21" s="451">
        <f t="shared" si="1"/>
        <v>0</v>
      </c>
      <c r="K21" s="451">
        <f t="shared" si="1"/>
        <v>0</v>
      </c>
      <c r="L21" s="476">
        <f t="shared" si="1"/>
        <v>0</v>
      </c>
      <c r="M21" s="475">
        <f t="shared" si="1"/>
        <v>0</v>
      </c>
      <c r="N21" s="451">
        <f t="shared" si="1"/>
        <v>0</v>
      </c>
      <c r="O21" s="451">
        <f t="shared" si="1"/>
        <v>0</v>
      </c>
      <c r="P21" s="451">
        <f t="shared" si="1"/>
        <v>0</v>
      </c>
      <c r="Q21" s="451">
        <f t="shared" si="1"/>
        <v>0</v>
      </c>
      <c r="R21" s="451">
        <f t="shared" si="1"/>
        <v>0</v>
      </c>
      <c r="S21" s="476">
        <f t="shared" si="1"/>
        <v>0</v>
      </c>
      <c r="T21" s="476">
        <f>SUM(T7:T20)</f>
        <v>0</v>
      </c>
      <c r="U21" s="476">
        <f t="shared" si="1"/>
        <v>0</v>
      </c>
      <c r="V21" s="477">
        <f t="shared" si="1"/>
        <v>0</v>
      </c>
    </row>
    <row r="22" spans="1:22" x14ac:dyDescent="0.2">
      <c r="B22" s="242"/>
    </row>
    <row r="24" spans="1:22" x14ac:dyDescent="0.2">
      <c r="C24" s="478"/>
      <c r="D24" s="478"/>
      <c r="E24" s="478"/>
    </row>
    <row r="25" spans="1:22" x14ac:dyDescent="0.2">
      <c r="A25" s="300"/>
      <c r="B25" s="300"/>
      <c r="D25" s="478"/>
      <c r="E25" s="478"/>
    </row>
    <row r="26" spans="1:22" x14ac:dyDescent="0.2">
      <c r="A26" s="300"/>
      <c r="B26" s="479"/>
      <c r="D26" s="478"/>
      <c r="E26" s="478"/>
    </row>
    <row r="27" spans="1:22" x14ac:dyDescent="0.2">
      <c r="A27" s="300"/>
      <c r="B27" s="300"/>
      <c r="D27" s="478"/>
      <c r="E27" s="478"/>
    </row>
    <row r="28" spans="1:22" x14ac:dyDescent="0.2">
      <c r="A28" s="300"/>
      <c r="B28" s="479"/>
      <c r="D28" s="478"/>
      <c r="E28" s="478"/>
    </row>
  </sheetData>
  <mergeCells count="5">
    <mergeCell ref="C5:L5"/>
    <mergeCell ref="M5:S5"/>
    <mergeCell ref="T5:T6"/>
    <mergeCell ref="U5:U6"/>
    <mergeCell ref="V5:V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FFA99-54FE-494B-81B9-2C47BCA60957}">
  <dimension ref="A1:I28"/>
  <sheetViews>
    <sheetView zoomScaleNormal="100" workbookViewId="0">
      <pane xSplit="1" ySplit="7" topLeftCell="B8" activePane="bottomRight" state="frozen"/>
      <selection activeCell="J35" sqref="J35"/>
      <selection pane="topRight" activeCell="J35" sqref="J35"/>
      <selection pane="bottomLeft" activeCell="J35" sqref="J35"/>
      <selection pane="bottomRight" activeCell="C8" sqref="C8:H22"/>
    </sheetView>
  </sheetViews>
  <sheetFormatPr defaultColWidth="9.140625" defaultRowHeight="12.75" x14ac:dyDescent="0.2"/>
  <cols>
    <col min="1" max="1" width="10.5703125" style="22" bestFit="1" customWidth="1"/>
    <col min="2" max="2" width="101.85546875" style="22" customWidth="1"/>
    <col min="3" max="3" width="13.7109375" style="22" customWidth="1"/>
    <col min="4" max="4" width="14.85546875" style="22" bestFit="1" customWidth="1"/>
    <col min="5" max="5" width="17.7109375" style="22" customWidth="1"/>
    <col min="6" max="6" width="15.85546875" style="22" customWidth="1"/>
    <col min="7" max="7" width="22.85546875" style="22" customWidth="1"/>
    <col min="8" max="8" width="15.28515625" style="22" customWidth="1"/>
    <col min="9" max="16384" width="9.140625" style="219"/>
  </cols>
  <sheetData>
    <row r="1" spans="1:9" x14ac:dyDescent="0.2">
      <c r="A1" s="22" t="s">
        <v>41</v>
      </c>
      <c r="B1" s="22" t="str">
        <f>Info!C2</f>
        <v>სს სილქ ბანკი</v>
      </c>
    </row>
    <row r="2" spans="1:9" x14ac:dyDescent="0.2">
      <c r="A2" s="22" t="s">
        <v>42</v>
      </c>
      <c r="B2" s="26">
        <f>'1. key ratios'!B2</f>
        <v>45291</v>
      </c>
    </row>
    <row r="4" spans="1:9" ht="40.5" customHeight="1" thickBot="1" x14ac:dyDescent="0.25">
      <c r="A4" s="22" t="s">
        <v>446</v>
      </c>
      <c r="B4" s="323" t="s">
        <v>447</v>
      </c>
    </row>
    <row r="5" spans="1:9" x14ac:dyDescent="0.2">
      <c r="A5" s="453"/>
      <c r="B5" s="480"/>
      <c r="C5" s="481" t="s">
        <v>288</v>
      </c>
      <c r="D5" s="481" t="s">
        <v>289</v>
      </c>
      <c r="E5" s="481" t="s">
        <v>290</v>
      </c>
      <c r="F5" s="481" t="s">
        <v>390</v>
      </c>
      <c r="G5" s="482" t="s">
        <v>391</v>
      </c>
      <c r="H5" s="483" t="s">
        <v>392</v>
      </c>
      <c r="I5" s="484"/>
    </row>
    <row r="6" spans="1:9" ht="15" customHeight="1" x14ac:dyDescent="0.2">
      <c r="A6" s="435"/>
      <c r="B6" s="485"/>
      <c r="C6" s="436" t="s">
        <v>448</v>
      </c>
      <c r="D6" s="486" t="s">
        <v>449</v>
      </c>
      <c r="E6" s="487"/>
      <c r="F6" s="436" t="s">
        <v>450</v>
      </c>
      <c r="G6" s="436" t="s">
        <v>451</v>
      </c>
      <c r="H6" s="488" t="s">
        <v>452</v>
      </c>
      <c r="I6" s="484"/>
    </row>
    <row r="7" spans="1:9" ht="63.75" x14ac:dyDescent="0.2">
      <c r="A7" s="435"/>
      <c r="B7" s="485"/>
      <c r="C7" s="440"/>
      <c r="D7" s="489" t="s">
        <v>453</v>
      </c>
      <c r="E7" s="489" t="s">
        <v>454</v>
      </c>
      <c r="F7" s="440"/>
      <c r="G7" s="440"/>
      <c r="H7" s="490"/>
      <c r="I7" s="484"/>
    </row>
    <row r="8" spans="1:9" x14ac:dyDescent="0.2">
      <c r="A8" s="491">
        <v>1</v>
      </c>
      <c r="B8" s="337" t="s">
        <v>408</v>
      </c>
      <c r="C8" s="445">
        <v>28053526.928560857</v>
      </c>
      <c r="D8" s="445"/>
      <c r="E8" s="445"/>
      <c r="F8" s="445">
        <v>2871077.0599999917</v>
      </c>
      <c r="G8" s="446">
        <v>2871077.0599999917</v>
      </c>
      <c r="H8" s="492">
        <f>G8/(C8+E8)</f>
        <v>0.10234282011353778</v>
      </c>
    </row>
    <row r="9" spans="1:9" ht="15" customHeight="1" x14ac:dyDescent="0.2">
      <c r="A9" s="491">
        <v>2</v>
      </c>
      <c r="B9" s="337" t="s">
        <v>409</v>
      </c>
      <c r="C9" s="445">
        <v>0</v>
      </c>
      <c r="D9" s="445"/>
      <c r="E9" s="445"/>
      <c r="F9" s="445">
        <v>0</v>
      </c>
      <c r="G9" s="446">
        <v>0</v>
      </c>
      <c r="H9" s="492" t="e">
        <f t="shared" ref="H9:H21" si="0">G9/(C9+E9)</f>
        <v>#DIV/0!</v>
      </c>
    </row>
    <row r="10" spans="1:9" x14ac:dyDescent="0.2">
      <c r="A10" s="491">
        <v>3</v>
      </c>
      <c r="B10" s="337" t="s">
        <v>410</v>
      </c>
      <c r="C10" s="445">
        <v>0</v>
      </c>
      <c r="D10" s="445"/>
      <c r="E10" s="445"/>
      <c r="F10" s="445">
        <v>0</v>
      </c>
      <c r="G10" s="446">
        <v>0</v>
      </c>
      <c r="H10" s="492" t="e">
        <f t="shared" si="0"/>
        <v>#DIV/0!</v>
      </c>
    </row>
    <row r="11" spans="1:9" x14ac:dyDescent="0.2">
      <c r="A11" s="491">
        <v>4</v>
      </c>
      <c r="B11" s="337" t="s">
        <v>411</v>
      </c>
      <c r="C11" s="445">
        <v>0</v>
      </c>
      <c r="D11" s="445"/>
      <c r="E11" s="445"/>
      <c r="F11" s="445">
        <v>0</v>
      </c>
      <c r="G11" s="446">
        <v>0</v>
      </c>
      <c r="H11" s="492" t="e">
        <f t="shared" si="0"/>
        <v>#DIV/0!</v>
      </c>
    </row>
    <row r="12" spans="1:9" x14ac:dyDescent="0.2">
      <c r="A12" s="491">
        <v>5</v>
      </c>
      <c r="B12" s="337" t="s">
        <v>412</v>
      </c>
      <c r="C12" s="445">
        <v>0</v>
      </c>
      <c r="D12" s="445"/>
      <c r="E12" s="445"/>
      <c r="F12" s="445">
        <v>0</v>
      </c>
      <c r="G12" s="446">
        <v>0</v>
      </c>
      <c r="H12" s="492" t="e">
        <f t="shared" si="0"/>
        <v>#DIV/0!</v>
      </c>
    </row>
    <row r="13" spans="1:9" x14ac:dyDescent="0.2">
      <c r="A13" s="491">
        <v>6</v>
      </c>
      <c r="B13" s="337" t="s">
        <v>413</v>
      </c>
      <c r="C13" s="445">
        <v>48636572.971618928</v>
      </c>
      <c r="D13" s="445"/>
      <c r="E13" s="445"/>
      <c r="F13" s="445">
        <v>16503352.698323818</v>
      </c>
      <c r="G13" s="446">
        <v>16503352.698323818</v>
      </c>
      <c r="H13" s="492">
        <f t="shared" si="0"/>
        <v>0.33931980997004207</v>
      </c>
    </row>
    <row r="14" spans="1:9" x14ac:dyDescent="0.2">
      <c r="A14" s="491">
        <v>7</v>
      </c>
      <c r="B14" s="337" t="s">
        <v>414</v>
      </c>
      <c r="C14" s="445">
        <v>41186625</v>
      </c>
      <c r="D14" s="445">
        <v>7700732.7199169546</v>
      </c>
      <c r="E14" s="445">
        <v>4279663.7597029284</v>
      </c>
      <c r="F14" s="445">
        <v>41186625</v>
      </c>
      <c r="G14" s="446">
        <v>41186625</v>
      </c>
      <c r="H14" s="492">
        <f>G14/(C14+E14)</f>
        <v>0.90587171558422819</v>
      </c>
    </row>
    <row r="15" spans="1:9" x14ac:dyDescent="0.2">
      <c r="A15" s="491">
        <v>8</v>
      </c>
      <c r="B15" s="337" t="s">
        <v>415</v>
      </c>
      <c r="C15" s="445">
        <v>14464497.560000001</v>
      </c>
      <c r="D15" s="445"/>
      <c r="E15" s="445"/>
      <c r="F15" s="445">
        <v>14464497.560000001</v>
      </c>
      <c r="G15" s="446">
        <v>14464497.560000001</v>
      </c>
      <c r="H15" s="492">
        <f t="shared" si="0"/>
        <v>1</v>
      </c>
    </row>
    <row r="16" spans="1:9" x14ac:dyDescent="0.2">
      <c r="A16" s="491">
        <v>9</v>
      </c>
      <c r="B16" s="337" t="s">
        <v>416</v>
      </c>
      <c r="C16" s="445">
        <v>0</v>
      </c>
      <c r="D16" s="445"/>
      <c r="E16" s="445"/>
      <c r="F16" s="445">
        <v>0</v>
      </c>
      <c r="G16" s="446">
        <v>0</v>
      </c>
      <c r="H16" s="492" t="e">
        <f t="shared" si="0"/>
        <v>#DIV/0!</v>
      </c>
    </row>
    <row r="17" spans="1:8" x14ac:dyDescent="0.2">
      <c r="A17" s="491">
        <v>10</v>
      </c>
      <c r="B17" s="337" t="s">
        <v>417</v>
      </c>
      <c r="C17" s="445">
        <v>434716.09</v>
      </c>
      <c r="D17" s="445"/>
      <c r="E17" s="445"/>
      <c r="F17" s="445">
        <v>434716.09</v>
      </c>
      <c r="G17" s="446">
        <v>434716.09</v>
      </c>
      <c r="H17" s="492">
        <f t="shared" si="0"/>
        <v>1</v>
      </c>
    </row>
    <row r="18" spans="1:8" x14ac:dyDescent="0.2">
      <c r="A18" s="491">
        <v>11</v>
      </c>
      <c r="B18" s="337" t="s">
        <v>418</v>
      </c>
      <c r="C18" s="445">
        <v>0</v>
      </c>
      <c r="D18" s="445"/>
      <c r="E18" s="445"/>
      <c r="F18" s="445">
        <v>0</v>
      </c>
      <c r="G18" s="446">
        <v>0</v>
      </c>
      <c r="H18" s="492" t="e">
        <f t="shared" si="0"/>
        <v>#DIV/0!</v>
      </c>
    </row>
    <row r="19" spans="1:8" x14ac:dyDescent="0.2">
      <c r="A19" s="491">
        <v>12</v>
      </c>
      <c r="B19" s="337" t="s">
        <v>419</v>
      </c>
      <c r="C19" s="445">
        <v>0</v>
      </c>
      <c r="D19" s="445"/>
      <c r="E19" s="445"/>
      <c r="F19" s="445">
        <v>0</v>
      </c>
      <c r="G19" s="446">
        <v>0</v>
      </c>
      <c r="H19" s="492" t="e">
        <f t="shared" si="0"/>
        <v>#DIV/0!</v>
      </c>
    </row>
    <row r="20" spans="1:8" x14ac:dyDescent="0.2">
      <c r="A20" s="491">
        <v>13</v>
      </c>
      <c r="B20" s="337" t="s">
        <v>420</v>
      </c>
      <c r="C20" s="445">
        <v>0</v>
      </c>
      <c r="D20" s="445"/>
      <c r="E20" s="445"/>
      <c r="F20" s="445">
        <v>0</v>
      </c>
      <c r="G20" s="446">
        <v>0</v>
      </c>
      <c r="H20" s="492" t="e">
        <f t="shared" si="0"/>
        <v>#DIV/0!</v>
      </c>
    </row>
    <row r="21" spans="1:8" x14ac:dyDescent="0.2">
      <c r="A21" s="491">
        <v>14</v>
      </c>
      <c r="B21" s="337" t="s">
        <v>421</v>
      </c>
      <c r="C21" s="445">
        <v>33172836.772714704</v>
      </c>
      <c r="D21" s="445"/>
      <c r="E21" s="445"/>
      <c r="F21" s="445">
        <v>30761632.212714709</v>
      </c>
      <c r="G21" s="446">
        <v>30761632.212714709</v>
      </c>
      <c r="H21" s="492">
        <f t="shared" si="0"/>
        <v>0.9273138870660812</v>
      </c>
    </row>
    <row r="22" spans="1:8" ht="13.5" thickBot="1" x14ac:dyDescent="0.25">
      <c r="A22" s="493"/>
      <c r="B22" s="494" t="s">
        <v>96</v>
      </c>
      <c r="C22" s="451">
        <f>SUM(C8:C21)</f>
        <v>165948775.32289451</v>
      </c>
      <c r="D22" s="451">
        <f>SUM(D8:D21)</f>
        <v>7700732.7199169546</v>
      </c>
      <c r="E22" s="451">
        <f>SUM(E8:E21)</f>
        <v>4279663.7597029284</v>
      </c>
      <c r="F22" s="451">
        <f>SUM(F8:F21)</f>
        <v>106221900.62103853</v>
      </c>
      <c r="G22" s="451">
        <f>SUM(G8:G21)</f>
        <v>106221900.62103853</v>
      </c>
      <c r="H22" s="495">
        <f>G22/(C22+E22)</f>
        <v>0.62399620882088946</v>
      </c>
    </row>
    <row r="24" spans="1:8" s="854" customFormat="1" x14ac:dyDescent="0.2">
      <c r="A24" s="848"/>
      <c r="B24" s="848"/>
      <c r="C24" s="853"/>
      <c r="D24" s="853"/>
      <c r="E24" s="853"/>
      <c r="F24" s="853"/>
      <c r="G24" s="853"/>
      <c r="H24" s="848"/>
    </row>
    <row r="28" spans="1:8" ht="10.5" customHeight="1" x14ac:dyDescent="0.2"/>
  </sheetData>
  <mergeCells count="5">
    <mergeCell ref="C6:C7"/>
    <mergeCell ref="D6:E6"/>
    <mergeCell ref="F6:F7"/>
    <mergeCell ref="G6:G7"/>
    <mergeCell ref="H6:H7"/>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0E560-9D95-43F2-8A4F-CD11DF46C87B}">
  <dimension ref="A1:K29"/>
  <sheetViews>
    <sheetView zoomScale="115" zoomScaleNormal="115" workbookViewId="0">
      <pane xSplit="2" ySplit="6" topLeftCell="E7" activePane="bottomRight" state="frozen"/>
      <selection activeCell="J35" sqref="J35"/>
      <selection pane="topRight" activeCell="J35" sqref="J35"/>
      <selection pane="bottomLeft" activeCell="J35" sqref="J35"/>
      <selection pane="bottomRight" activeCell="F23" sqref="F23:K25"/>
    </sheetView>
  </sheetViews>
  <sheetFormatPr defaultColWidth="9.140625" defaultRowHeight="12.75" x14ac:dyDescent="0.2"/>
  <cols>
    <col min="1" max="1" width="10.5703125" style="22" bestFit="1" customWidth="1"/>
    <col min="2" max="2" width="104.140625" style="22" customWidth="1"/>
    <col min="3" max="6" width="12.7109375" style="22" customWidth="1"/>
    <col min="7" max="7" width="15.42578125" style="22" customWidth="1"/>
    <col min="8" max="8" width="14.7109375" style="22" customWidth="1"/>
    <col min="9" max="9" width="15" style="22" customWidth="1"/>
    <col min="10" max="10" width="12.7109375" style="22" customWidth="1"/>
    <col min="11" max="11" width="15" style="22" customWidth="1"/>
    <col min="12" max="16384" width="9.140625" style="22"/>
  </cols>
  <sheetData>
    <row r="1" spans="1:11" x14ac:dyDescent="0.2">
      <c r="A1" s="22" t="s">
        <v>41</v>
      </c>
      <c r="B1" s="22" t="str">
        <f>Info!C2</f>
        <v>სს სილქ ბანკი</v>
      </c>
    </row>
    <row r="2" spans="1:11" x14ac:dyDescent="0.2">
      <c r="A2" s="22" t="s">
        <v>42</v>
      </c>
      <c r="B2" s="26">
        <f>'1. key ratios'!B2</f>
        <v>45291</v>
      </c>
    </row>
    <row r="3" spans="1:11" x14ac:dyDescent="0.2">
      <c r="B3" s="496"/>
    </row>
    <row r="4" spans="1:11" ht="40.5" customHeight="1" thickBot="1" x14ac:dyDescent="0.25">
      <c r="A4" s="22" t="s">
        <v>455</v>
      </c>
      <c r="B4" s="323" t="s">
        <v>27</v>
      </c>
    </row>
    <row r="5" spans="1:11" ht="30" customHeight="1" x14ac:dyDescent="0.2">
      <c r="A5" s="497"/>
      <c r="B5" s="498"/>
      <c r="C5" s="499" t="s">
        <v>456</v>
      </c>
      <c r="D5" s="499"/>
      <c r="E5" s="499"/>
      <c r="F5" s="499" t="s">
        <v>457</v>
      </c>
      <c r="G5" s="499"/>
      <c r="H5" s="499"/>
      <c r="I5" s="499" t="s">
        <v>458</v>
      </c>
      <c r="J5" s="499"/>
      <c r="K5" s="500"/>
    </row>
    <row r="6" spans="1:11" x14ac:dyDescent="0.2">
      <c r="A6" s="501"/>
      <c r="B6" s="502"/>
      <c r="C6" s="489" t="s">
        <v>94</v>
      </c>
      <c r="D6" s="489" t="s">
        <v>459</v>
      </c>
      <c r="E6" s="489" t="s">
        <v>96</v>
      </c>
      <c r="F6" s="489" t="s">
        <v>94</v>
      </c>
      <c r="G6" s="489" t="s">
        <v>459</v>
      </c>
      <c r="H6" s="489" t="s">
        <v>96</v>
      </c>
      <c r="I6" s="489" t="s">
        <v>94</v>
      </c>
      <c r="J6" s="489" t="s">
        <v>459</v>
      </c>
      <c r="K6" s="503" t="s">
        <v>96</v>
      </c>
    </row>
    <row r="7" spans="1:11" x14ac:dyDescent="0.2">
      <c r="A7" s="504" t="s">
        <v>460</v>
      </c>
      <c r="B7" s="505"/>
      <c r="C7" s="505"/>
      <c r="D7" s="505"/>
      <c r="E7" s="505"/>
      <c r="F7" s="505"/>
      <c r="G7" s="505"/>
      <c r="H7" s="505"/>
      <c r="I7" s="505"/>
      <c r="J7" s="505"/>
      <c r="K7" s="506"/>
    </row>
    <row r="8" spans="1:11" x14ac:dyDescent="0.2">
      <c r="A8" s="507">
        <v>1</v>
      </c>
      <c r="B8" s="508" t="s">
        <v>460</v>
      </c>
      <c r="C8" s="509"/>
      <c r="D8" s="509"/>
      <c r="E8" s="509"/>
      <c r="F8" s="510">
        <v>59958786.960000001</v>
      </c>
      <c r="G8" s="510">
        <v>14751727.110000001</v>
      </c>
      <c r="H8" s="510">
        <f>F8+G8</f>
        <v>74710514.070000008</v>
      </c>
      <c r="I8" s="510">
        <v>23945950.719999999</v>
      </c>
      <c r="J8" s="510">
        <v>2823338.9299999997</v>
      </c>
      <c r="K8" s="511">
        <f>I8+J8</f>
        <v>26769289.649999999</v>
      </c>
    </row>
    <row r="9" spans="1:11" x14ac:dyDescent="0.2">
      <c r="A9" s="504" t="s">
        <v>461</v>
      </c>
      <c r="B9" s="505"/>
      <c r="C9" s="505"/>
      <c r="D9" s="505"/>
      <c r="E9" s="505"/>
      <c r="F9" s="512"/>
      <c r="G9" s="512"/>
      <c r="H9" s="512"/>
      <c r="I9" s="512"/>
      <c r="J9" s="512"/>
      <c r="K9" s="513"/>
    </row>
    <row r="10" spans="1:11" x14ac:dyDescent="0.2">
      <c r="A10" s="306">
        <v>2</v>
      </c>
      <c r="B10" s="514" t="s">
        <v>462</v>
      </c>
      <c r="C10" s="153">
        <v>4757827.1499999994</v>
      </c>
      <c r="D10" s="515">
        <v>4159550.7900000005</v>
      </c>
      <c r="E10" s="515">
        <f>C10+D10</f>
        <v>8917377.9399999995</v>
      </c>
      <c r="F10" s="515">
        <v>29518.194699999996</v>
      </c>
      <c r="G10" s="515">
        <v>403136.33300000016</v>
      </c>
      <c r="H10" s="515">
        <f>F10+G10</f>
        <v>432654.52770000015</v>
      </c>
      <c r="I10" s="515">
        <v>5922.2074999999995</v>
      </c>
      <c r="J10" s="515">
        <v>59795.473500000007</v>
      </c>
      <c r="K10" s="516">
        <f t="shared" ref="K10:K15" si="0">I10+J10</f>
        <v>65717.681000000011</v>
      </c>
    </row>
    <row r="11" spans="1:11" x14ac:dyDescent="0.2">
      <c r="A11" s="306">
        <v>3</v>
      </c>
      <c r="B11" s="514" t="s">
        <v>463</v>
      </c>
      <c r="C11" s="153">
        <v>12370421.910000004</v>
      </c>
      <c r="D11" s="515">
        <v>7166436.9099999983</v>
      </c>
      <c r="E11" s="515">
        <f t="shared" ref="E11:E16" si="1">C11+D11</f>
        <v>19536858.82</v>
      </c>
      <c r="F11" s="515">
        <v>4151438.2859999998</v>
      </c>
      <c r="G11" s="515">
        <v>3907912.1879999996</v>
      </c>
      <c r="H11" s="515">
        <f t="shared" ref="H11:H16" si="2">F11+G11</f>
        <v>8059350.4739999995</v>
      </c>
      <c r="I11" s="515">
        <v>2332253.7935000006</v>
      </c>
      <c r="J11" s="515">
        <v>2007687.6559999997</v>
      </c>
      <c r="K11" s="516">
        <f t="shared" si="0"/>
        <v>4339941.4495000001</v>
      </c>
    </row>
    <row r="12" spans="1:11" x14ac:dyDescent="0.2">
      <c r="A12" s="306">
        <v>4</v>
      </c>
      <c r="B12" s="514" t="s">
        <v>464</v>
      </c>
      <c r="C12" s="153">
        <v>0</v>
      </c>
      <c r="D12" s="515">
        <v>0</v>
      </c>
      <c r="E12" s="515">
        <f t="shared" si="1"/>
        <v>0</v>
      </c>
      <c r="F12" s="515">
        <v>6443.4645</v>
      </c>
      <c r="G12" s="515">
        <v>0</v>
      </c>
      <c r="H12" s="515">
        <f t="shared" si="2"/>
        <v>6443.4645</v>
      </c>
      <c r="I12" s="515">
        <v>6443.4645</v>
      </c>
      <c r="J12" s="515">
        <v>0</v>
      </c>
      <c r="K12" s="516">
        <f t="shared" si="0"/>
        <v>6443.4645</v>
      </c>
    </row>
    <row r="13" spans="1:11" x14ac:dyDescent="0.2">
      <c r="A13" s="306">
        <v>5</v>
      </c>
      <c r="B13" s="514" t="s">
        <v>465</v>
      </c>
      <c r="C13" s="153">
        <v>946409.69</v>
      </c>
      <c r="D13" s="515">
        <v>2121724.04</v>
      </c>
      <c r="E13" s="515">
        <f t="shared" si="1"/>
        <v>3068133.73</v>
      </c>
      <c r="F13" s="515">
        <v>221453.63919999998</v>
      </c>
      <c r="G13" s="515">
        <v>868354.12899999996</v>
      </c>
      <c r="H13" s="515">
        <f t="shared" si="2"/>
        <v>1089807.7681999998</v>
      </c>
      <c r="I13" s="515">
        <v>48803.645999999993</v>
      </c>
      <c r="J13" s="515">
        <v>106583.17050000001</v>
      </c>
      <c r="K13" s="516">
        <f t="shared" si="0"/>
        <v>155386.81650000002</v>
      </c>
    </row>
    <row r="14" spans="1:11" x14ac:dyDescent="0.2">
      <c r="A14" s="306">
        <v>6</v>
      </c>
      <c r="B14" s="514" t="s">
        <v>466</v>
      </c>
      <c r="C14" s="153">
        <v>0</v>
      </c>
      <c r="D14" s="515">
        <v>0</v>
      </c>
      <c r="E14" s="515">
        <f t="shared" si="1"/>
        <v>0</v>
      </c>
      <c r="F14" s="515"/>
      <c r="G14" s="515"/>
      <c r="H14" s="515">
        <f t="shared" si="2"/>
        <v>0</v>
      </c>
      <c r="I14" s="515">
        <v>0</v>
      </c>
      <c r="J14" s="515">
        <v>0</v>
      </c>
      <c r="K14" s="516">
        <f t="shared" si="0"/>
        <v>0</v>
      </c>
    </row>
    <row r="15" spans="1:11" x14ac:dyDescent="0.2">
      <c r="A15" s="306">
        <v>7</v>
      </c>
      <c r="B15" s="514" t="s">
        <v>467</v>
      </c>
      <c r="C15" s="153">
        <v>2128260.0100000002</v>
      </c>
      <c r="D15" s="515">
        <v>3025997.3</v>
      </c>
      <c r="E15" s="515">
        <f t="shared" si="1"/>
        <v>5154257.3100000005</v>
      </c>
      <c r="F15" s="515">
        <v>1343859.3</v>
      </c>
      <c r="G15" s="515">
        <v>960660.22000000009</v>
      </c>
      <c r="H15" s="515">
        <f t="shared" si="2"/>
        <v>2304519.52</v>
      </c>
      <c r="I15" s="515">
        <v>1343859.3</v>
      </c>
      <c r="J15" s="515">
        <v>960660.22000000009</v>
      </c>
      <c r="K15" s="516">
        <f t="shared" si="0"/>
        <v>2304519.52</v>
      </c>
    </row>
    <row r="16" spans="1:11" x14ac:dyDescent="0.2">
      <c r="A16" s="306">
        <v>8</v>
      </c>
      <c r="B16" s="517" t="s">
        <v>468</v>
      </c>
      <c r="C16" s="153">
        <f>SUM(C10:C15)</f>
        <v>20202918.760000005</v>
      </c>
      <c r="D16" s="153">
        <f>SUM(D10:D15)</f>
        <v>16473709.039999999</v>
      </c>
      <c r="E16" s="515">
        <f t="shared" si="1"/>
        <v>36676627.800000004</v>
      </c>
      <c r="F16" s="515">
        <f>SUM(F10:F15)</f>
        <v>5752712.8843999989</v>
      </c>
      <c r="G16" s="515">
        <f>SUM(G10:G15)</f>
        <v>6140062.8699999992</v>
      </c>
      <c r="H16" s="515">
        <f t="shared" si="2"/>
        <v>11892775.754399998</v>
      </c>
      <c r="I16" s="515">
        <f>SUM(I10:I15)</f>
        <v>3737282.4115000004</v>
      </c>
      <c r="J16" s="515">
        <f>SUM(J10:J15)</f>
        <v>3134726.52</v>
      </c>
      <c r="K16" s="516">
        <f>SUM(K10:K15)</f>
        <v>6872008.931499999</v>
      </c>
    </row>
    <row r="17" spans="1:11" x14ac:dyDescent="0.2">
      <c r="A17" s="504" t="s">
        <v>469</v>
      </c>
      <c r="B17" s="505"/>
      <c r="C17" s="518"/>
      <c r="D17" s="518"/>
      <c r="E17" s="518"/>
      <c r="F17" s="512"/>
      <c r="G17" s="512"/>
      <c r="H17" s="512"/>
      <c r="I17" s="512"/>
      <c r="J17" s="512"/>
      <c r="K17" s="513"/>
    </row>
    <row r="18" spans="1:11" x14ac:dyDescent="0.2">
      <c r="A18" s="306">
        <v>9</v>
      </c>
      <c r="B18" s="514" t="s">
        <v>470</v>
      </c>
      <c r="C18" s="519">
        <v>0</v>
      </c>
      <c r="D18" s="520">
        <v>0</v>
      </c>
      <c r="E18" s="520">
        <f>C18+D18</f>
        <v>0</v>
      </c>
      <c r="F18" s="515">
        <v>0</v>
      </c>
      <c r="G18" s="515">
        <v>0</v>
      </c>
      <c r="H18" s="515">
        <f>F18+G18</f>
        <v>0</v>
      </c>
      <c r="I18" s="515">
        <v>0</v>
      </c>
      <c r="J18" s="515">
        <v>0</v>
      </c>
      <c r="K18" s="516">
        <f>I18+J18</f>
        <v>0</v>
      </c>
    </row>
    <row r="19" spans="1:11" x14ac:dyDescent="0.2">
      <c r="A19" s="306">
        <v>10</v>
      </c>
      <c r="B19" s="514" t="s">
        <v>471</v>
      </c>
      <c r="C19" s="153">
        <v>45443878.57</v>
      </c>
      <c r="D19" s="515">
        <v>17978615.910000004</v>
      </c>
      <c r="E19" s="515">
        <f>C19+D19</f>
        <v>63422494.480000004</v>
      </c>
      <c r="F19" s="515">
        <v>257339.25000000003</v>
      </c>
      <c r="G19" s="515">
        <v>72230.554999999993</v>
      </c>
      <c r="H19" s="515">
        <f>F19+G19</f>
        <v>329569.80500000005</v>
      </c>
      <c r="I19" s="515">
        <v>36270175.490000002</v>
      </c>
      <c r="J19" s="515">
        <v>10543435.115000002</v>
      </c>
      <c r="K19" s="516">
        <f>I19+J19</f>
        <v>46813610.605000004</v>
      </c>
    </row>
    <row r="20" spans="1:11" x14ac:dyDescent="0.2">
      <c r="A20" s="306">
        <v>11</v>
      </c>
      <c r="B20" s="514" t="s">
        <v>472</v>
      </c>
      <c r="C20" s="153">
        <v>9760956.1500000004</v>
      </c>
      <c r="D20" s="515">
        <v>370641.78</v>
      </c>
      <c r="E20" s="515">
        <f>C20+D20</f>
        <v>10131597.93</v>
      </c>
      <c r="F20" s="515">
        <v>178006.47</v>
      </c>
      <c r="G20" s="515">
        <v>2087.04</v>
      </c>
      <c r="H20" s="515">
        <f>F20+G20</f>
        <v>180093.51</v>
      </c>
      <c r="I20" s="515">
        <v>178006.47</v>
      </c>
      <c r="J20" s="515">
        <v>2087.04</v>
      </c>
      <c r="K20" s="516">
        <f>I20+J20</f>
        <v>180093.51</v>
      </c>
    </row>
    <row r="21" spans="1:11" ht="13.5" thickBot="1" x14ac:dyDescent="0.25">
      <c r="A21" s="521">
        <v>12</v>
      </c>
      <c r="B21" s="522" t="s">
        <v>473</v>
      </c>
      <c r="C21" s="523">
        <f>SUM(C18:C20)</f>
        <v>55204834.719999999</v>
      </c>
      <c r="D21" s="523">
        <f>SUM(D18:D20)</f>
        <v>18349257.690000005</v>
      </c>
      <c r="E21" s="523">
        <f>SUM(E18:E20)</f>
        <v>73554092.409999996</v>
      </c>
      <c r="F21" s="524">
        <f>SUM(F18:F20)</f>
        <v>435345.72000000003</v>
      </c>
      <c r="G21" s="524">
        <f>SUM(G18:G20)</f>
        <v>74317.594999999987</v>
      </c>
      <c r="H21" s="515">
        <f>F21+G21</f>
        <v>509663.315</v>
      </c>
      <c r="I21" s="524">
        <f>SUM(I18:I20)</f>
        <v>36448181.960000001</v>
      </c>
      <c r="J21" s="524">
        <f>SUM(J18:J20)</f>
        <v>10545522.155000001</v>
      </c>
      <c r="K21" s="525">
        <f>SUM(K18:K20)</f>
        <v>46993704.115000002</v>
      </c>
    </row>
    <row r="22" spans="1:11" ht="38.25" customHeight="1" thickBot="1" x14ac:dyDescent="0.25">
      <c r="A22" s="526"/>
      <c r="B22" s="527"/>
      <c r="C22" s="528"/>
      <c r="D22" s="528"/>
      <c r="E22" s="528"/>
      <c r="F22" s="529" t="s">
        <v>474</v>
      </c>
      <c r="G22" s="499"/>
      <c r="H22" s="499"/>
      <c r="I22" s="529" t="s">
        <v>475</v>
      </c>
      <c r="J22" s="499"/>
      <c r="K22" s="500"/>
    </row>
    <row r="23" spans="1:11" x14ac:dyDescent="0.2">
      <c r="A23" s="530">
        <v>13</v>
      </c>
      <c r="B23" s="531" t="s">
        <v>460</v>
      </c>
      <c r="C23" s="532"/>
      <c r="D23" s="533"/>
      <c r="E23" s="533"/>
      <c r="F23" s="534">
        <f t="shared" ref="F23:K23" si="3">F8</f>
        <v>59958786.960000001</v>
      </c>
      <c r="G23" s="534">
        <f t="shared" si="3"/>
        <v>14751727.110000001</v>
      </c>
      <c r="H23" s="534">
        <f t="shared" si="3"/>
        <v>74710514.070000008</v>
      </c>
      <c r="I23" s="535">
        <f t="shared" si="3"/>
        <v>23945950.719999999</v>
      </c>
      <c r="J23" s="535">
        <f t="shared" si="3"/>
        <v>2823338.9299999997</v>
      </c>
      <c r="K23" s="536">
        <f t="shared" si="3"/>
        <v>26769289.649999999</v>
      </c>
    </row>
    <row r="24" spans="1:11" ht="13.5" thickBot="1" x14ac:dyDescent="0.25">
      <c r="A24" s="537">
        <v>14</v>
      </c>
      <c r="B24" s="538" t="s">
        <v>476</v>
      </c>
      <c r="C24" s="539"/>
      <c r="D24" s="540"/>
      <c r="E24" s="541"/>
      <c r="F24" s="542">
        <f t="shared" ref="F24:G24" si="4">MAX(F16-F21,F16*0.25)</f>
        <v>5317367.1643999992</v>
      </c>
      <c r="G24" s="542">
        <f t="shared" si="4"/>
        <v>6065745.2749999994</v>
      </c>
      <c r="H24" s="542">
        <f>MAX(H16-H21,H16*0.25)</f>
        <v>11383112.439399999</v>
      </c>
      <c r="I24" s="543">
        <v>934320.6028750001</v>
      </c>
      <c r="J24" s="543">
        <v>783681.63</v>
      </c>
      <c r="K24" s="544">
        <f>MAX(K16-K21,K16*0.25)</f>
        <v>1718002.2328749998</v>
      </c>
    </row>
    <row r="25" spans="1:11" ht="13.5" thickBot="1" x14ac:dyDescent="0.25">
      <c r="A25" s="545">
        <v>15</v>
      </c>
      <c r="B25" s="546" t="s">
        <v>85</v>
      </c>
      <c r="C25" s="547"/>
      <c r="D25" s="548"/>
      <c r="E25" s="548"/>
      <c r="F25" s="549">
        <f t="shared" ref="F25:K25" si="5">IFERROR(F23/F24,0)</f>
        <v>11.276029114827098</v>
      </c>
      <c r="G25" s="549">
        <f t="shared" si="5"/>
        <v>2.431972732320185</v>
      </c>
      <c r="H25" s="549">
        <f t="shared" si="5"/>
        <v>6.5632764736125173</v>
      </c>
      <c r="I25" s="549">
        <f t="shared" si="5"/>
        <v>25.629265421650619</v>
      </c>
      <c r="J25" s="549">
        <f t="shared" si="5"/>
        <v>3.6026605982840247</v>
      </c>
      <c r="K25" s="550">
        <f t="shared" si="5"/>
        <v>15.581638450610621</v>
      </c>
    </row>
    <row r="28" spans="1:11" ht="38.25" x14ac:dyDescent="0.2">
      <c r="B28" s="128" t="s">
        <v>477</v>
      </c>
    </row>
    <row r="29" spans="1:11" x14ac:dyDescent="0.2">
      <c r="F29" s="551"/>
    </row>
  </sheetData>
  <mergeCells count="6">
    <mergeCell ref="A5:B5"/>
    <mergeCell ref="C5:E5"/>
    <mergeCell ref="F5:H5"/>
    <mergeCell ref="I5:K5"/>
    <mergeCell ref="F22:H22"/>
    <mergeCell ref="I22:K2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0B93D-2A2D-4B1D-A129-7CD72BD6CFC1}">
  <dimension ref="A1:AA23"/>
  <sheetViews>
    <sheetView workbookViewId="0">
      <pane xSplit="1" ySplit="5" topLeftCell="B6" activePane="bottomRight" state="frozen"/>
      <selection activeCell="J35" sqref="J35"/>
      <selection pane="topRight" activeCell="J35" sqref="J35"/>
      <selection pane="bottomLeft" activeCell="J35" sqref="J35"/>
      <selection pane="bottomRight" activeCell="C8" sqref="C8"/>
    </sheetView>
  </sheetViews>
  <sheetFormatPr defaultColWidth="9.140625" defaultRowHeight="15" x14ac:dyDescent="0.3"/>
  <cols>
    <col min="1" max="1" width="10.5703125" style="385" bestFit="1" customWidth="1"/>
    <col min="2" max="2" width="95" style="385" customWidth="1"/>
    <col min="3" max="3" width="12.5703125" style="385" bestFit="1" customWidth="1"/>
    <col min="4" max="4" width="10" style="385" bestFit="1" customWidth="1"/>
    <col min="5" max="5" width="18.28515625" style="385" bestFit="1" customWidth="1"/>
    <col min="6" max="6" width="10.7109375" style="385" customWidth="1"/>
    <col min="7" max="7" width="16" style="385" customWidth="1"/>
    <col min="8" max="13" width="10.7109375" style="385" customWidth="1"/>
    <col min="14" max="14" width="22" style="385" customWidth="1"/>
    <col min="15" max="16384" width="9.140625" style="219"/>
  </cols>
  <sheetData>
    <row r="1" spans="1:27" x14ac:dyDescent="0.3">
      <c r="A1" s="22" t="s">
        <v>41</v>
      </c>
      <c r="B1" s="385" t="str">
        <f>Info!C2</f>
        <v>სს სილქ ბანკი</v>
      </c>
    </row>
    <row r="2" spans="1:27" ht="14.25" customHeight="1" x14ac:dyDescent="0.3">
      <c r="A2" s="385" t="s">
        <v>42</v>
      </c>
      <c r="B2" s="26">
        <f>'1. key ratios'!B2</f>
        <v>45291</v>
      </c>
    </row>
    <row r="3" spans="1:27" ht="14.25" customHeight="1" x14ac:dyDescent="0.3"/>
    <row r="4" spans="1:27" ht="40.5" customHeight="1" thickBot="1" x14ac:dyDescent="0.35">
      <c r="A4" s="22" t="s">
        <v>478</v>
      </c>
      <c r="B4" s="552" t="s">
        <v>28</v>
      </c>
    </row>
    <row r="5" spans="1:27" s="557" customFormat="1" ht="12.75" x14ac:dyDescent="0.2">
      <c r="A5" s="553"/>
      <c r="B5" s="554"/>
      <c r="C5" s="555" t="s">
        <v>288</v>
      </c>
      <c r="D5" s="555" t="s">
        <v>289</v>
      </c>
      <c r="E5" s="555" t="s">
        <v>290</v>
      </c>
      <c r="F5" s="555" t="s">
        <v>390</v>
      </c>
      <c r="G5" s="555" t="s">
        <v>391</v>
      </c>
      <c r="H5" s="555" t="s">
        <v>392</v>
      </c>
      <c r="I5" s="555" t="s">
        <v>393</v>
      </c>
      <c r="J5" s="555" t="s">
        <v>394</v>
      </c>
      <c r="K5" s="555" t="s">
        <v>395</v>
      </c>
      <c r="L5" s="555" t="s">
        <v>396</v>
      </c>
      <c r="M5" s="555" t="s">
        <v>397</v>
      </c>
      <c r="N5" s="556" t="s">
        <v>398</v>
      </c>
    </row>
    <row r="6" spans="1:27" ht="75" x14ac:dyDescent="0.3">
      <c r="A6" s="558"/>
      <c r="B6" s="559"/>
      <c r="C6" s="560" t="s">
        <v>479</v>
      </c>
      <c r="D6" s="561" t="s">
        <v>480</v>
      </c>
      <c r="E6" s="562" t="s">
        <v>481</v>
      </c>
      <c r="F6" s="563">
        <v>0</v>
      </c>
      <c r="G6" s="563">
        <v>0.2</v>
      </c>
      <c r="H6" s="563">
        <v>0.35</v>
      </c>
      <c r="I6" s="563">
        <v>0.5</v>
      </c>
      <c r="J6" s="563">
        <v>0.75</v>
      </c>
      <c r="K6" s="563">
        <v>1</v>
      </c>
      <c r="L6" s="563">
        <v>1.5</v>
      </c>
      <c r="M6" s="563">
        <v>2.5</v>
      </c>
      <c r="N6" s="564" t="s">
        <v>28</v>
      </c>
    </row>
    <row r="7" spans="1:27" x14ac:dyDescent="0.3">
      <c r="A7" s="565">
        <v>1</v>
      </c>
      <c r="B7" s="566" t="s">
        <v>482</v>
      </c>
      <c r="C7" s="567">
        <f>SUM(C8:C13)</f>
        <v>13147900</v>
      </c>
      <c r="D7" s="559"/>
      <c r="E7" s="568">
        <f t="shared" ref="E7:M7" si="0">SUM(E8:E13)</f>
        <v>262958</v>
      </c>
      <c r="F7" s="567">
        <f>SUM(F8:F13)</f>
        <v>0</v>
      </c>
      <c r="G7" s="567">
        <f t="shared" si="0"/>
        <v>0</v>
      </c>
      <c r="H7" s="567">
        <f t="shared" si="0"/>
        <v>0</v>
      </c>
      <c r="I7" s="567">
        <f t="shared" si="0"/>
        <v>0</v>
      </c>
      <c r="J7" s="567">
        <f t="shared" si="0"/>
        <v>0</v>
      </c>
      <c r="K7" s="567">
        <f t="shared" si="0"/>
        <v>262958</v>
      </c>
      <c r="L7" s="567">
        <f t="shared" si="0"/>
        <v>0</v>
      </c>
      <c r="M7" s="567">
        <f t="shared" si="0"/>
        <v>0</v>
      </c>
      <c r="N7" s="569">
        <f>SUM(N8:N13)</f>
        <v>262958</v>
      </c>
      <c r="P7" s="230">
        <v>0</v>
      </c>
      <c r="Q7" s="230">
        <v>0</v>
      </c>
      <c r="R7" s="230">
        <v>0</v>
      </c>
      <c r="S7" s="230">
        <v>0</v>
      </c>
      <c r="T7" s="230">
        <v>0</v>
      </c>
      <c r="U7" s="230">
        <v>0</v>
      </c>
      <c r="V7" s="230">
        <v>0</v>
      </c>
      <c r="W7" s="230">
        <v>0</v>
      </c>
      <c r="X7" s="230">
        <v>0</v>
      </c>
      <c r="Y7" s="230">
        <v>0</v>
      </c>
      <c r="Z7" s="230">
        <v>0</v>
      </c>
      <c r="AA7" s="230">
        <v>0</v>
      </c>
    </row>
    <row r="8" spans="1:27" x14ac:dyDescent="0.3">
      <c r="A8" s="565">
        <v>1.1000000000000001</v>
      </c>
      <c r="B8" s="570" t="s">
        <v>483</v>
      </c>
      <c r="C8" s="571">
        <f>'4. Off-balance'!E32</f>
        <v>13147900</v>
      </c>
      <c r="D8" s="572">
        <v>0.02</v>
      </c>
      <c r="E8" s="568">
        <f>C8*D8</f>
        <v>262958</v>
      </c>
      <c r="F8" s="571"/>
      <c r="G8" s="571"/>
      <c r="H8" s="571"/>
      <c r="I8" s="571"/>
      <c r="J8" s="571"/>
      <c r="K8" s="571">
        <f>E8</f>
        <v>262958</v>
      </c>
      <c r="L8" s="571"/>
      <c r="M8" s="571"/>
      <c r="N8" s="569">
        <f t="shared" ref="N8:N13" si="1">SUMPRODUCT($F$6:$M$6,F8:M8)</f>
        <v>262958</v>
      </c>
      <c r="P8" s="230">
        <v>0</v>
      </c>
      <c r="Q8" s="230">
        <v>0</v>
      </c>
      <c r="R8" s="230">
        <v>0</v>
      </c>
      <c r="S8" s="230">
        <v>0</v>
      </c>
      <c r="T8" s="230">
        <v>0</v>
      </c>
      <c r="U8" s="230">
        <v>0</v>
      </c>
      <c r="V8" s="230">
        <v>0</v>
      </c>
      <c r="W8" s="230">
        <v>0</v>
      </c>
      <c r="X8" s="230">
        <v>0</v>
      </c>
      <c r="Y8" s="230">
        <v>0</v>
      </c>
      <c r="Z8" s="230">
        <v>0</v>
      </c>
      <c r="AA8" s="230">
        <v>0</v>
      </c>
    </row>
    <row r="9" spans="1:27" x14ac:dyDescent="0.3">
      <c r="A9" s="565">
        <v>1.2</v>
      </c>
      <c r="B9" s="570" t="s">
        <v>484</v>
      </c>
      <c r="C9" s="571">
        <v>0</v>
      </c>
      <c r="D9" s="572">
        <v>0.05</v>
      </c>
      <c r="E9" s="568">
        <f>C9*D9</f>
        <v>0</v>
      </c>
      <c r="F9" s="571"/>
      <c r="G9" s="571"/>
      <c r="H9" s="571"/>
      <c r="I9" s="571"/>
      <c r="J9" s="571"/>
      <c r="K9" s="571"/>
      <c r="L9" s="571"/>
      <c r="M9" s="571"/>
      <c r="N9" s="569">
        <f t="shared" si="1"/>
        <v>0</v>
      </c>
      <c r="P9" s="230">
        <v>0</v>
      </c>
      <c r="Q9" s="230">
        <v>0</v>
      </c>
      <c r="R9" s="230">
        <v>0</v>
      </c>
      <c r="S9" s="230">
        <v>0</v>
      </c>
      <c r="T9" s="230">
        <v>0</v>
      </c>
      <c r="U9" s="230">
        <v>0</v>
      </c>
      <c r="V9" s="230">
        <v>0</v>
      </c>
      <c r="W9" s="230">
        <v>0</v>
      </c>
      <c r="X9" s="230">
        <v>0</v>
      </c>
      <c r="Y9" s="230">
        <v>0</v>
      </c>
      <c r="Z9" s="230">
        <v>0</v>
      </c>
      <c r="AA9" s="230">
        <v>0</v>
      </c>
    </row>
    <row r="10" spans="1:27" x14ac:dyDescent="0.3">
      <c r="A10" s="565">
        <v>1.3</v>
      </c>
      <c r="B10" s="570" t="s">
        <v>485</v>
      </c>
      <c r="C10" s="571">
        <v>0</v>
      </c>
      <c r="D10" s="572">
        <v>0.08</v>
      </c>
      <c r="E10" s="568">
        <f>C10*D10</f>
        <v>0</v>
      </c>
      <c r="F10" s="571"/>
      <c r="G10" s="571"/>
      <c r="H10" s="571"/>
      <c r="I10" s="571"/>
      <c r="J10" s="571"/>
      <c r="K10" s="571"/>
      <c r="L10" s="571"/>
      <c r="M10" s="571"/>
      <c r="N10" s="569">
        <f t="shared" si="1"/>
        <v>0</v>
      </c>
      <c r="P10" s="230">
        <v>0</v>
      </c>
      <c r="Q10" s="230">
        <v>0</v>
      </c>
      <c r="R10" s="230">
        <v>0</v>
      </c>
      <c r="S10" s="230">
        <v>0</v>
      </c>
      <c r="T10" s="230">
        <v>0</v>
      </c>
      <c r="U10" s="230">
        <v>0</v>
      </c>
      <c r="V10" s="230">
        <v>0</v>
      </c>
      <c r="W10" s="230">
        <v>0</v>
      </c>
      <c r="X10" s="230">
        <v>0</v>
      </c>
      <c r="Y10" s="230">
        <v>0</v>
      </c>
      <c r="Z10" s="230">
        <v>0</v>
      </c>
      <c r="AA10" s="230">
        <v>0</v>
      </c>
    </row>
    <row r="11" spans="1:27" x14ac:dyDescent="0.3">
      <c r="A11" s="565">
        <v>1.4</v>
      </c>
      <c r="B11" s="570" t="s">
        <v>486</v>
      </c>
      <c r="C11" s="571">
        <v>0</v>
      </c>
      <c r="D11" s="572">
        <v>0.11</v>
      </c>
      <c r="E11" s="568">
        <f>C11*D11</f>
        <v>0</v>
      </c>
      <c r="F11" s="571"/>
      <c r="G11" s="571"/>
      <c r="H11" s="571"/>
      <c r="I11" s="571"/>
      <c r="J11" s="571"/>
      <c r="K11" s="571"/>
      <c r="L11" s="571"/>
      <c r="M11" s="571"/>
      <c r="N11" s="569">
        <f t="shared" si="1"/>
        <v>0</v>
      </c>
      <c r="P11" s="230">
        <v>0</v>
      </c>
      <c r="Q11" s="230">
        <v>0</v>
      </c>
      <c r="R11" s="230">
        <v>0</v>
      </c>
      <c r="S11" s="230">
        <v>0</v>
      </c>
      <c r="T11" s="230">
        <v>0</v>
      </c>
      <c r="U11" s="230">
        <v>0</v>
      </c>
      <c r="V11" s="230">
        <v>0</v>
      </c>
      <c r="W11" s="230">
        <v>0</v>
      </c>
      <c r="X11" s="230">
        <v>0</v>
      </c>
      <c r="Y11" s="230">
        <v>0</v>
      </c>
      <c r="Z11" s="230">
        <v>0</v>
      </c>
      <c r="AA11" s="230">
        <v>0</v>
      </c>
    </row>
    <row r="12" spans="1:27" x14ac:dyDescent="0.3">
      <c r="A12" s="565">
        <v>1.5</v>
      </c>
      <c r="B12" s="570" t="s">
        <v>487</v>
      </c>
      <c r="C12" s="571">
        <v>0</v>
      </c>
      <c r="D12" s="572">
        <v>0.14000000000000001</v>
      </c>
      <c r="E12" s="568">
        <f>C12*D12</f>
        <v>0</v>
      </c>
      <c r="F12" s="571"/>
      <c r="G12" s="571"/>
      <c r="H12" s="571"/>
      <c r="I12" s="571"/>
      <c r="J12" s="571"/>
      <c r="K12" s="571"/>
      <c r="L12" s="571"/>
      <c r="M12" s="571"/>
      <c r="N12" s="569">
        <f t="shared" si="1"/>
        <v>0</v>
      </c>
      <c r="P12" s="230">
        <v>0</v>
      </c>
      <c r="Q12" s="230">
        <v>0</v>
      </c>
      <c r="R12" s="230">
        <v>0</v>
      </c>
      <c r="S12" s="230">
        <v>0</v>
      </c>
      <c r="T12" s="230">
        <v>0</v>
      </c>
      <c r="U12" s="230">
        <v>0</v>
      </c>
      <c r="V12" s="230">
        <v>0</v>
      </c>
      <c r="W12" s="230">
        <v>0</v>
      </c>
      <c r="X12" s="230">
        <v>0</v>
      </c>
      <c r="Y12" s="230">
        <v>0</v>
      </c>
      <c r="Z12" s="230">
        <v>0</v>
      </c>
      <c r="AA12" s="230">
        <v>0</v>
      </c>
    </row>
    <row r="13" spans="1:27" x14ac:dyDescent="0.3">
      <c r="A13" s="565">
        <v>1.6</v>
      </c>
      <c r="B13" s="573" t="s">
        <v>488</v>
      </c>
      <c r="C13" s="571">
        <v>0</v>
      </c>
      <c r="D13" s="574"/>
      <c r="E13" s="571"/>
      <c r="F13" s="571"/>
      <c r="G13" s="571"/>
      <c r="H13" s="571"/>
      <c r="I13" s="571"/>
      <c r="J13" s="571"/>
      <c r="K13" s="571"/>
      <c r="L13" s="571"/>
      <c r="M13" s="571"/>
      <c r="N13" s="569">
        <f t="shared" si="1"/>
        <v>0</v>
      </c>
      <c r="P13" s="230">
        <v>0</v>
      </c>
      <c r="Q13" s="230">
        <v>0</v>
      </c>
      <c r="R13" s="230">
        <v>0</v>
      </c>
      <c r="S13" s="230">
        <v>0</v>
      </c>
      <c r="T13" s="230">
        <v>0</v>
      </c>
      <c r="U13" s="230">
        <v>0</v>
      </c>
      <c r="V13" s="230">
        <v>0</v>
      </c>
      <c r="W13" s="230">
        <v>0</v>
      </c>
      <c r="X13" s="230">
        <v>0</v>
      </c>
      <c r="Y13" s="230">
        <v>0</v>
      </c>
      <c r="Z13" s="230">
        <v>0</v>
      </c>
      <c r="AA13" s="230">
        <v>0</v>
      </c>
    </row>
    <row r="14" spans="1:27" x14ac:dyDescent="0.3">
      <c r="A14" s="565">
        <v>2</v>
      </c>
      <c r="B14" s="575" t="s">
        <v>489</v>
      </c>
      <c r="C14" s="567">
        <f>SUM(C15:C20)</f>
        <v>0</v>
      </c>
      <c r="D14" s="559"/>
      <c r="E14" s="568">
        <f t="shared" ref="E14:M14" si="2">SUM(E15:E20)</f>
        <v>0</v>
      </c>
      <c r="F14" s="571">
        <f t="shared" si="2"/>
        <v>0</v>
      </c>
      <c r="G14" s="571">
        <f t="shared" si="2"/>
        <v>0</v>
      </c>
      <c r="H14" s="571">
        <f t="shared" si="2"/>
        <v>0</v>
      </c>
      <c r="I14" s="571">
        <f t="shared" si="2"/>
        <v>0</v>
      </c>
      <c r="J14" s="571">
        <f t="shared" si="2"/>
        <v>0</v>
      </c>
      <c r="K14" s="571">
        <f t="shared" si="2"/>
        <v>0</v>
      </c>
      <c r="L14" s="571">
        <f t="shared" si="2"/>
        <v>0</v>
      </c>
      <c r="M14" s="571">
        <f t="shared" si="2"/>
        <v>0</v>
      </c>
      <c r="N14" s="569">
        <f>SUM(N15:N20)</f>
        <v>0</v>
      </c>
      <c r="P14" s="230">
        <v>0</v>
      </c>
      <c r="Q14" s="230">
        <v>0</v>
      </c>
      <c r="R14" s="230">
        <v>0</v>
      </c>
      <c r="S14" s="230">
        <v>0</v>
      </c>
      <c r="T14" s="230">
        <v>0</v>
      </c>
      <c r="U14" s="230">
        <v>0</v>
      </c>
      <c r="V14" s="230">
        <v>0</v>
      </c>
      <c r="W14" s="230">
        <v>0</v>
      </c>
      <c r="X14" s="230">
        <v>0</v>
      </c>
      <c r="Y14" s="230">
        <v>0</v>
      </c>
      <c r="Z14" s="230">
        <v>0</v>
      </c>
      <c r="AA14" s="230">
        <v>0</v>
      </c>
    </row>
    <row r="15" spans="1:27" x14ac:dyDescent="0.3">
      <c r="A15" s="565">
        <v>2.1</v>
      </c>
      <c r="B15" s="573" t="s">
        <v>483</v>
      </c>
      <c r="C15" s="571"/>
      <c r="D15" s="572">
        <v>5.0000000000000001E-3</v>
      </c>
      <c r="E15" s="568">
        <f>C15*D15</f>
        <v>0</v>
      </c>
      <c r="F15" s="571"/>
      <c r="G15" s="571"/>
      <c r="H15" s="571"/>
      <c r="I15" s="571"/>
      <c r="J15" s="571"/>
      <c r="K15" s="571"/>
      <c r="L15" s="571"/>
      <c r="M15" s="571"/>
      <c r="N15" s="569">
        <f t="shared" ref="N15:N20" si="3">SUMPRODUCT($F$6:$M$6,F15:M15)</f>
        <v>0</v>
      </c>
      <c r="P15" s="230">
        <v>0</v>
      </c>
      <c r="Q15" s="230">
        <v>0</v>
      </c>
      <c r="R15" s="230">
        <v>0</v>
      </c>
      <c r="S15" s="230">
        <v>0</v>
      </c>
      <c r="T15" s="230">
        <v>0</v>
      </c>
      <c r="U15" s="230">
        <v>0</v>
      </c>
      <c r="V15" s="230">
        <v>0</v>
      </c>
      <c r="W15" s="230">
        <v>0</v>
      </c>
      <c r="X15" s="230">
        <v>0</v>
      </c>
      <c r="Y15" s="230">
        <v>0</v>
      </c>
      <c r="Z15" s="230">
        <v>0</v>
      </c>
      <c r="AA15" s="230">
        <v>0</v>
      </c>
    </row>
    <row r="16" spans="1:27" x14ac:dyDescent="0.3">
      <c r="A16" s="565">
        <v>2.2000000000000002</v>
      </c>
      <c r="B16" s="573" t="s">
        <v>484</v>
      </c>
      <c r="C16" s="571"/>
      <c r="D16" s="572">
        <v>0.01</v>
      </c>
      <c r="E16" s="568">
        <f>C16*D16</f>
        <v>0</v>
      </c>
      <c r="F16" s="571"/>
      <c r="G16" s="571"/>
      <c r="H16" s="571"/>
      <c r="I16" s="571"/>
      <c r="J16" s="571"/>
      <c r="K16" s="571"/>
      <c r="L16" s="571"/>
      <c r="M16" s="571"/>
      <c r="N16" s="569">
        <f t="shared" si="3"/>
        <v>0</v>
      </c>
      <c r="P16" s="230">
        <v>0</v>
      </c>
      <c r="Q16" s="230">
        <v>0</v>
      </c>
      <c r="R16" s="230">
        <v>0</v>
      </c>
      <c r="S16" s="230">
        <v>0</v>
      </c>
      <c r="T16" s="230">
        <v>0</v>
      </c>
      <c r="U16" s="230">
        <v>0</v>
      </c>
      <c r="V16" s="230">
        <v>0</v>
      </c>
      <c r="W16" s="230">
        <v>0</v>
      </c>
      <c r="X16" s="230">
        <v>0</v>
      </c>
      <c r="Y16" s="230">
        <v>0</v>
      </c>
      <c r="Z16" s="230">
        <v>0</v>
      </c>
      <c r="AA16" s="230">
        <v>0</v>
      </c>
    </row>
    <row r="17" spans="1:27" x14ac:dyDescent="0.3">
      <c r="A17" s="565">
        <v>2.2999999999999998</v>
      </c>
      <c r="B17" s="573" t="s">
        <v>485</v>
      </c>
      <c r="C17" s="571"/>
      <c r="D17" s="572">
        <v>0.02</v>
      </c>
      <c r="E17" s="568">
        <f>C17*D17</f>
        <v>0</v>
      </c>
      <c r="F17" s="571"/>
      <c r="G17" s="571"/>
      <c r="H17" s="571"/>
      <c r="I17" s="571"/>
      <c r="J17" s="571"/>
      <c r="K17" s="571"/>
      <c r="L17" s="571"/>
      <c r="M17" s="571"/>
      <c r="N17" s="569">
        <f t="shared" si="3"/>
        <v>0</v>
      </c>
      <c r="P17" s="230">
        <v>0</v>
      </c>
      <c r="Q17" s="230">
        <v>0</v>
      </c>
      <c r="R17" s="230">
        <v>0</v>
      </c>
      <c r="S17" s="230">
        <v>0</v>
      </c>
      <c r="T17" s="230">
        <v>0</v>
      </c>
      <c r="U17" s="230">
        <v>0</v>
      </c>
      <c r="V17" s="230">
        <v>0</v>
      </c>
      <c r="W17" s="230">
        <v>0</v>
      </c>
      <c r="X17" s="230">
        <v>0</v>
      </c>
      <c r="Y17" s="230">
        <v>0</v>
      </c>
      <c r="Z17" s="230">
        <v>0</v>
      </c>
      <c r="AA17" s="230">
        <v>0</v>
      </c>
    </row>
    <row r="18" spans="1:27" x14ac:dyDescent="0.3">
      <c r="A18" s="565">
        <v>2.4</v>
      </c>
      <c r="B18" s="573" t="s">
        <v>486</v>
      </c>
      <c r="C18" s="571"/>
      <c r="D18" s="572">
        <v>0.03</v>
      </c>
      <c r="E18" s="568">
        <f>C18*D18</f>
        <v>0</v>
      </c>
      <c r="F18" s="571"/>
      <c r="G18" s="571"/>
      <c r="H18" s="571"/>
      <c r="I18" s="571"/>
      <c r="J18" s="571"/>
      <c r="K18" s="571"/>
      <c r="L18" s="571"/>
      <c r="M18" s="571"/>
      <c r="N18" s="569">
        <f t="shared" si="3"/>
        <v>0</v>
      </c>
      <c r="P18" s="230">
        <v>0</v>
      </c>
      <c r="Q18" s="230">
        <v>0</v>
      </c>
      <c r="R18" s="230">
        <v>0</v>
      </c>
      <c r="S18" s="230">
        <v>0</v>
      </c>
      <c r="T18" s="230">
        <v>0</v>
      </c>
      <c r="U18" s="230">
        <v>0</v>
      </c>
      <c r="V18" s="230">
        <v>0</v>
      </c>
      <c r="W18" s="230">
        <v>0</v>
      </c>
      <c r="X18" s="230">
        <v>0</v>
      </c>
      <c r="Y18" s="230">
        <v>0</v>
      </c>
      <c r="Z18" s="230">
        <v>0</v>
      </c>
      <c r="AA18" s="230">
        <v>0</v>
      </c>
    </row>
    <row r="19" spans="1:27" x14ac:dyDescent="0.3">
      <c r="A19" s="565">
        <v>2.5</v>
      </c>
      <c r="B19" s="573" t="s">
        <v>487</v>
      </c>
      <c r="C19" s="571"/>
      <c r="D19" s="572">
        <v>0.04</v>
      </c>
      <c r="E19" s="568">
        <f>C19*D19</f>
        <v>0</v>
      </c>
      <c r="F19" s="571"/>
      <c r="G19" s="571"/>
      <c r="H19" s="571"/>
      <c r="I19" s="571"/>
      <c r="J19" s="571"/>
      <c r="K19" s="571"/>
      <c r="L19" s="571"/>
      <c r="M19" s="571"/>
      <c r="N19" s="569">
        <f t="shared" si="3"/>
        <v>0</v>
      </c>
      <c r="P19" s="230">
        <v>0</v>
      </c>
      <c r="Q19" s="230">
        <v>0</v>
      </c>
      <c r="R19" s="230">
        <v>0</v>
      </c>
      <c r="S19" s="230">
        <v>0</v>
      </c>
      <c r="T19" s="230">
        <v>0</v>
      </c>
      <c r="U19" s="230">
        <v>0</v>
      </c>
      <c r="V19" s="230">
        <v>0</v>
      </c>
      <c r="W19" s="230">
        <v>0</v>
      </c>
      <c r="X19" s="230">
        <v>0</v>
      </c>
      <c r="Y19" s="230">
        <v>0</v>
      </c>
      <c r="Z19" s="230">
        <v>0</v>
      </c>
      <c r="AA19" s="230">
        <v>0</v>
      </c>
    </row>
    <row r="20" spans="1:27" x14ac:dyDescent="0.3">
      <c r="A20" s="565">
        <v>2.6</v>
      </c>
      <c r="B20" s="573" t="s">
        <v>488</v>
      </c>
      <c r="C20" s="571"/>
      <c r="D20" s="574"/>
      <c r="E20" s="576"/>
      <c r="F20" s="571"/>
      <c r="G20" s="571"/>
      <c r="H20" s="571"/>
      <c r="I20" s="571"/>
      <c r="J20" s="571"/>
      <c r="K20" s="571"/>
      <c r="L20" s="571"/>
      <c r="M20" s="571"/>
      <c r="N20" s="569">
        <f t="shared" si="3"/>
        <v>0</v>
      </c>
      <c r="P20" s="230">
        <v>0</v>
      </c>
      <c r="Q20" s="230">
        <v>0</v>
      </c>
      <c r="R20" s="230">
        <v>0</v>
      </c>
      <c r="S20" s="230">
        <v>0</v>
      </c>
      <c r="T20" s="230">
        <v>0</v>
      </c>
      <c r="U20" s="230">
        <v>0</v>
      </c>
      <c r="V20" s="230">
        <v>0</v>
      </c>
      <c r="W20" s="230">
        <v>0</v>
      </c>
      <c r="X20" s="230">
        <v>0</v>
      </c>
      <c r="Y20" s="230">
        <v>0</v>
      </c>
      <c r="Z20" s="230">
        <v>0</v>
      </c>
      <c r="AA20" s="230">
        <v>0</v>
      </c>
    </row>
    <row r="21" spans="1:27" ht="15.75" thickBot="1" x14ac:dyDescent="0.35">
      <c r="A21" s="577">
        <v>3</v>
      </c>
      <c r="B21" s="578" t="s">
        <v>96</v>
      </c>
      <c r="C21" s="579">
        <f>C14+C7</f>
        <v>13147900</v>
      </c>
      <c r="D21" s="580"/>
      <c r="E21" s="581">
        <f>E14+E7</f>
        <v>262958</v>
      </c>
      <c r="F21" s="582">
        <f>F7+F14</f>
        <v>0</v>
      </c>
      <c r="G21" s="582">
        <f t="shared" ref="G21:L21" si="4">G7+G14</f>
        <v>0</v>
      </c>
      <c r="H21" s="582">
        <f t="shared" si="4"/>
        <v>0</v>
      </c>
      <c r="I21" s="582">
        <f t="shared" si="4"/>
        <v>0</v>
      </c>
      <c r="J21" s="582">
        <f t="shared" si="4"/>
        <v>0</v>
      </c>
      <c r="K21" s="582">
        <f t="shared" si="4"/>
        <v>262958</v>
      </c>
      <c r="L21" s="582">
        <f t="shared" si="4"/>
        <v>0</v>
      </c>
      <c r="M21" s="582">
        <f>M7+M14</f>
        <v>0</v>
      </c>
      <c r="N21" s="583">
        <f>N14+N7</f>
        <v>262958</v>
      </c>
      <c r="P21" s="230">
        <v>0</v>
      </c>
      <c r="Q21" s="230">
        <v>0</v>
      </c>
      <c r="R21" s="230">
        <v>0</v>
      </c>
      <c r="S21" s="230">
        <v>0</v>
      </c>
      <c r="T21" s="230">
        <v>0</v>
      </c>
      <c r="U21" s="230">
        <v>0</v>
      </c>
      <c r="V21" s="230">
        <v>0</v>
      </c>
      <c r="W21" s="230">
        <v>0</v>
      </c>
      <c r="X21" s="230">
        <v>-262958</v>
      </c>
      <c r="Y21" s="230">
        <v>0</v>
      </c>
      <c r="Z21" s="230">
        <v>0</v>
      </c>
      <c r="AA21" s="230">
        <v>0</v>
      </c>
    </row>
    <row r="22" spans="1:27" x14ac:dyDescent="0.3">
      <c r="B22" s="584"/>
      <c r="E22" s="585"/>
      <c r="F22" s="585"/>
      <c r="G22" s="585"/>
      <c r="H22" s="585"/>
      <c r="I22" s="585"/>
      <c r="J22" s="585"/>
      <c r="K22" s="585"/>
      <c r="L22" s="585"/>
      <c r="M22" s="585"/>
    </row>
    <row r="23" spans="1:27" x14ac:dyDescent="0.3">
      <c r="E23" s="855"/>
    </row>
  </sheetData>
  <conditionalFormatting sqref="E8:E12">
    <cfRule type="expression" dxfId="21" priority="2">
      <formula>(C8*D8)&lt;&gt;SUM(#REF!)</formula>
    </cfRule>
  </conditionalFormatting>
  <conditionalFormatting sqref="E15:E19">
    <cfRule type="expression" dxfId="20" priority="1">
      <formula>(C15*D15)&lt;&gt;SUM(#REF!)</formula>
    </cfRule>
  </conditionalFormatting>
  <conditionalFormatting sqref="E20">
    <cfRule type="expression" dxfId="19" priority="3">
      <formula>$E$88&lt;&gt;SUM(#REF!)</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4B0A0-4E1B-4A1E-B369-40CE72A4456F}">
  <dimension ref="A1:E43"/>
  <sheetViews>
    <sheetView workbookViewId="0">
      <selection activeCell="C6" sqref="C6:C41"/>
    </sheetView>
  </sheetViews>
  <sheetFormatPr defaultRowHeight="15" x14ac:dyDescent="0.25"/>
  <cols>
    <col min="1" max="1" width="11.42578125" customWidth="1"/>
    <col min="2" max="2" width="76.85546875" style="261" customWidth="1"/>
    <col min="3" max="3" width="22.85546875" customWidth="1"/>
  </cols>
  <sheetData>
    <row r="1" spans="1:5" x14ac:dyDescent="0.25">
      <c r="A1" s="22" t="s">
        <v>41</v>
      </c>
      <c r="B1" t="str">
        <f>Info!C2</f>
        <v>სს სილქ ბანკი</v>
      </c>
    </row>
    <row r="2" spans="1:5" x14ac:dyDescent="0.25">
      <c r="A2" s="22" t="s">
        <v>42</v>
      </c>
      <c r="B2" s="26">
        <f>'1. key ratios'!B2</f>
        <v>45291</v>
      </c>
    </row>
    <row r="3" spans="1:5" x14ac:dyDescent="0.25">
      <c r="A3" s="22"/>
      <c r="B3"/>
    </row>
    <row r="4" spans="1:5" ht="40.5" customHeight="1" x14ac:dyDescent="0.25">
      <c r="A4" s="22" t="s">
        <v>490</v>
      </c>
      <c r="B4" t="s">
        <v>29</v>
      </c>
    </row>
    <row r="5" spans="1:5" x14ac:dyDescent="0.25">
      <c r="A5" s="586"/>
      <c r="B5" s="586" t="s">
        <v>491</v>
      </c>
      <c r="C5" s="587"/>
    </row>
    <row r="6" spans="1:5" x14ac:dyDescent="0.25">
      <c r="A6" s="588">
        <v>1</v>
      </c>
      <c r="B6" s="589" t="s">
        <v>492</v>
      </c>
      <c r="C6" s="856">
        <v>165948775.32289451</v>
      </c>
      <c r="E6" s="590"/>
    </row>
    <row r="7" spans="1:5" x14ac:dyDescent="0.25">
      <c r="A7" s="588">
        <v>2</v>
      </c>
      <c r="B7" s="589" t="s">
        <v>493</v>
      </c>
      <c r="C7" s="598">
        <v>-5105992.7698158473</v>
      </c>
    </row>
    <row r="8" spans="1:5" x14ac:dyDescent="0.25">
      <c r="A8" s="591">
        <v>3</v>
      </c>
      <c r="B8" s="592" t="s">
        <v>494</v>
      </c>
      <c r="C8" s="593">
        <f>C6+C7</f>
        <v>160842782.55307865</v>
      </c>
    </row>
    <row r="9" spans="1:5" x14ac:dyDescent="0.25">
      <c r="A9" s="594"/>
      <c r="B9" s="594" t="s">
        <v>495</v>
      </c>
      <c r="C9" s="595"/>
    </row>
    <row r="10" spans="1:5" x14ac:dyDescent="0.25">
      <c r="A10" s="596">
        <v>4</v>
      </c>
      <c r="B10" s="597" t="s">
        <v>496</v>
      </c>
      <c r="C10" s="598"/>
    </row>
    <row r="11" spans="1:5" x14ac:dyDescent="0.25">
      <c r="A11" s="596">
        <v>5</v>
      </c>
      <c r="B11" s="599" t="s">
        <v>497</v>
      </c>
      <c r="C11" s="598"/>
    </row>
    <row r="12" spans="1:5" x14ac:dyDescent="0.25">
      <c r="A12" s="596" t="s">
        <v>498</v>
      </c>
      <c r="B12" s="589" t="s">
        <v>499</v>
      </c>
      <c r="C12" s="593">
        <f>'15. CCR'!E21</f>
        <v>262958</v>
      </c>
    </row>
    <row r="13" spans="1:5" x14ac:dyDescent="0.25">
      <c r="A13" s="600">
        <v>6</v>
      </c>
      <c r="B13" s="601" t="s">
        <v>500</v>
      </c>
      <c r="C13" s="598"/>
    </row>
    <row r="14" spans="1:5" x14ac:dyDescent="0.25">
      <c r="A14" s="600">
        <v>7</v>
      </c>
      <c r="B14" s="602" t="s">
        <v>501</v>
      </c>
      <c r="C14" s="598"/>
    </row>
    <row r="15" spans="1:5" x14ac:dyDescent="0.25">
      <c r="A15" s="603">
        <v>8</v>
      </c>
      <c r="B15" s="589" t="s">
        <v>502</v>
      </c>
      <c r="C15" s="598"/>
    </row>
    <row r="16" spans="1:5" ht="24" x14ac:dyDescent="0.25">
      <c r="A16" s="600">
        <v>9</v>
      </c>
      <c r="B16" s="602" t="s">
        <v>503</v>
      </c>
      <c r="C16" s="598"/>
    </row>
    <row r="17" spans="1:3" x14ac:dyDescent="0.25">
      <c r="A17" s="600">
        <v>10</v>
      </c>
      <c r="B17" s="602" t="s">
        <v>504</v>
      </c>
      <c r="C17" s="598"/>
    </row>
    <row r="18" spans="1:3" x14ac:dyDescent="0.25">
      <c r="A18" s="604">
        <v>11</v>
      </c>
      <c r="B18" s="605" t="s">
        <v>505</v>
      </c>
      <c r="C18" s="593">
        <f>SUM(C10:C17)</f>
        <v>262958</v>
      </c>
    </row>
    <row r="19" spans="1:3" x14ac:dyDescent="0.25">
      <c r="A19" s="594"/>
      <c r="B19" s="594" t="s">
        <v>506</v>
      </c>
      <c r="C19" s="606"/>
    </row>
    <row r="20" spans="1:3" x14ac:dyDescent="0.25">
      <c r="A20" s="600">
        <v>12</v>
      </c>
      <c r="B20" s="597" t="s">
        <v>507</v>
      </c>
      <c r="C20" s="598"/>
    </row>
    <row r="21" spans="1:3" x14ac:dyDescent="0.25">
      <c r="A21" s="600">
        <v>13</v>
      </c>
      <c r="B21" s="597" t="s">
        <v>508</v>
      </c>
      <c r="C21" s="598"/>
    </row>
    <row r="22" spans="1:3" x14ac:dyDescent="0.25">
      <c r="A22" s="600">
        <v>14</v>
      </c>
      <c r="B22" s="607" t="s">
        <v>509</v>
      </c>
      <c r="C22" s="598"/>
    </row>
    <row r="23" spans="1:3" ht="24" x14ac:dyDescent="0.25">
      <c r="A23" s="600" t="s">
        <v>510</v>
      </c>
      <c r="B23" s="597" t="s">
        <v>511</v>
      </c>
      <c r="C23" s="598"/>
    </row>
    <row r="24" spans="1:3" x14ac:dyDescent="0.25">
      <c r="A24" s="600">
        <v>15</v>
      </c>
      <c r="B24" s="597" t="s">
        <v>512</v>
      </c>
      <c r="C24" s="598"/>
    </row>
    <row r="25" spans="1:3" x14ac:dyDescent="0.25">
      <c r="A25" s="600" t="s">
        <v>513</v>
      </c>
      <c r="B25" s="589" t="s">
        <v>514</v>
      </c>
      <c r="C25" s="598"/>
    </row>
    <row r="26" spans="1:3" x14ac:dyDescent="0.25">
      <c r="A26" s="604">
        <v>16</v>
      </c>
      <c r="B26" s="605" t="s">
        <v>515</v>
      </c>
      <c r="C26" s="593">
        <f>SUM(C20:C25)</f>
        <v>0</v>
      </c>
    </row>
    <row r="27" spans="1:3" x14ac:dyDescent="0.25">
      <c r="A27" s="594"/>
      <c r="B27" s="594" t="s">
        <v>516</v>
      </c>
      <c r="C27" s="595"/>
    </row>
    <row r="28" spans="1:3" x14ac:dyDescent="0.25">
      <c r="A28" s="596">
        <v>17</v>
      </c>
      <c r="B28" s="589" t="s">
        <v>517</v>
      </c>
      <c r="C28" s="598">
        <v>7700732.7199169546</v>
      </c>
    </row>
    <row r="29" spans="1:3" x14ac:dyDescent="0.25">
      <c r="A29" s="596">
        <v>18</v>
      </c>
      <c r="B29" s="589" t="s">
        <v>518</v>
      </c>
      <c r="C29" s="598">
        <v>-3078962.0641926238</v>
      </c>
    </row>
    <row r="30" spans="1:3" x14ac:dyDescent="0.25">
      <c r="A30" s="604">
        <v>19</v>
      </c>
      <c r="B30" s="605" t="s">
        <v>519</v>
      </c>
      <c r="C30" s="593">
        <f>C28+C29</f>
        <v>4621770.6557243308</v>
      </c>
    </row>
    <row r="31" spans="1:3" x14ac:dyDescent="0.25">
      <c r="A31" s="608"/>
      <c r="B31" s="594" t="s">
        <v>520</v>
      </c>
      <c r="C31" s="595"/>
    </row>
    <row r="32" spans="1:3" x14ac:dyDescent="0.25">
      <c r="A32" s="596" t="s">
        <v>521</v>
      </c>
      <c r="B32" s="597" t="s">
        <v>522</v>
      </c>
      <c r="C32" s="609"/>
    </row>
    <row r="33" spans="1:3" x14ac:dyDescent="0.25">
      <c r="A33" s="596" t="s">
        <v>523</v>
      </c>
      <c r="B33" s="599" t="s">
        <v>524</v>
      </c>
      <c r="C33" s="609"/>
    </row>
    <row r="34" spans="1:3" x14ac:dyDescent="0.25">
      <c r="A34" s="594"/>
      <c r="B34" s="594" t="s">
        <v>525</v>
      </c>
      <c r="C34" s="595"/>
    </row>
    <row r="35" spans="1:3" x14ac:dyDescent="0.25">
      <c r="A35" s="604">
        <v>20</v>
      </c>
      <c r="B35" s="605" t="s">
        <v>54</v>
      </c>
      <c r="C35" s="593">
        <f>'1. key ratios'!C9</f>
        <v>52917483.969116479</v>
      </c>
    </row>
    <row r="36" spans="1:3" x14ac:dyDescent="0.25">
      <c r="A36" s="604">
        <v>21</v>
      </c>
      <c r="B36" s="605" t="s">
        <v>526</v>
      </c>
      <c r="C36" s="593">
        <f>C8+C18+C26+C30</f>
        <v>165727511.20880297</v>
      </c>
    </row>
    <row r="37" spans="1:3" x14ac:dyDescent="0.25">
      <c r="A37" s="610"/>
      <c r="B37" s="610" t="s">
        <v>29</v>
      </c>
      <c r="C37" s="595"/>
    </row>
    <row r="38" spans="1:3" x14ac:dyDescent="0.25">
      <c r="A38" s="604">
        <v>22</v>
      </c>
      <c r="B38" s="605" t="s">
        <v>29</v>
      </c>
      <c r="C38" s="611">
        <f>IFERROR(C35/C36,0)</f>
        <v>0.31930416128946038</v>
      </c>
    </row>
    <row r="39" spans="1:3" x14ac:dyDescent="0.25">
      <c r="A39" s="610"/>
      <c r="B39" s="610" t="s">
        <v>527</v>
      </c>
      <c r="C39" s="595"/>
    </row>
    <row r="40" spans="1:3" x14ac:dyDescent="0.25">
      <c r="A40" s="612" t="s">
        <v>528</v>
      </c>
      <c r="B40" s="597" t="s">
        <v>529</v>
      </c>
      <c r="C40" s="609"/>
    </row>
    <row r="41" spans="1:3" x14ac:dyDescent="0.25">
      <c r="A41" s="613" t="s">
        <v>530</v>
      </c>
      <c r="B41" s="599" t="s">
        <v>531</v>
      </c>
      <c r="C41" s="609"/>
    </row>
    <row r="43" spans="1:3" x14ac:dyDescent="0.25">
      <c r="B43" s="614" t="s">
        <v>532</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371E4-FA5C-4F98-9B1B-342EA341EC03}">
  <dimension ref="A1:L42"/>
  <sheetViews>
    <sheetView zoomScaleNormal="100" workbookViewId="0">
      <pane xSplit="2" ySplit="6" topLeftCell="C17" activePane="bottomRight" state="frozen"/>
      <selection activeCell="J35" sqref="J35"/>
      <selection pane="topRight" activeCell="J35" sqref="J35"/>
      <selection pane="bottomLeft" activeCell="J35" sqref="J35"/>
      <selection pane="bottomRight" activeCell="C8" sqref="C8:G39"/>
    </sheetView>
  </sheetViews>
  <sheetFormatPr defaultRowHeight="15" x14ac:dyDescent="0.25"/>
  <cols>
    <col min="1" max="1" width="9.85546875" style="22" bestFit="1" customWidth="1"/>
    <col min="2" max="2" width="95.140625" style="128" customWidth="1"/>
    <col min="3" max="7" width="17.5703125" style="22" customWidth="1"/>
    <col min="8" max="8" width="15.85546875" style="857" customWidth="1"/>
    <col min="9" max="9" width="12.85546875" style="857" bestFit="1" customWidth="1"/>
    <col min="10" max="10" width="11.140625" bestFit="1" customWidth="1"/>
    <col min="11" max="11" width="14.5703125" bestFit="1" customWidth="1"/>
    <col min="12" max="12" width="11.140625" bestFit="1" customWidth="1"/>
  </cols>
  <sheetData>
    <row r="1" spans="1:12" x14ac:dyDescent="0.25">
      <c r="A1" s="22" t="s">
        <v>41</v>
      </c>
      <c r="B1" s="22" t="str">
        <f>Info!C2</f>
        <v>სს სილქ ბანკი</v>
      </c>
    </row>
    <row r="2" spans="1:12" x14ac:dyDescent="0.25">
      <c r="A2" s="22" t="s">
        <v>42</v>
      </c>
      <c r="B2" s="26">
        <f>'1. key ratios'!B2</f>
        <v>45291</v>
      </c>
    </row>
    <row r="3" spans="1:12" x14ac:dyDescent="0.25">
      <c r="B3" s="615"/>
    </row>
    <row r="4" spans="1:12" ht="40.5" customHeight="1" thickBot="1" x14ac:dyDescent="0.3">
      <c r="A4" s="22" t="s">
        <v>533</v>
      </c>
      <c r="B4" s="429" t="s">
        <v>30</v>
      </c>
      <c r="H4" s="858"/>
    </row>
    <row r="5" spans="1:12" x14ac:dyDescent="0.25">
      <c r="A5" s="616"/>
      <c r="B5" s="617"/>
      <c r="C5" s="618" t="s">
        <v>534</v>
      </c>
      <c r="D5" s="618"/>
      <c r="E5" s="618"/>
      <c r="F5" s="618"/>
      <c r="G5" s="619" t="s">
        <v>535</v>
      </c>
    </row>
    <row r="6" spans="1:12" x14ac:dyDescent="0.25">
      <c r="A6" s="620"/>
      <c r="B6" s="621"/>
      <c r="C6" s="622" t="s">
        <v>536</v>
      </c>
      <c r="D6" s="622" t="s">
        <v>537</v>
      </c>
      <c r="E6" s="622" t="s">
        <v>538</v>
      </c>
      <c r="F6" s="622" t="s">
        <v>539</v>
      </c>
      <c r="G6" s="623"/>
      <c r="H6" s="858"/>
    </row>
    <row r="7" spans="1:12" x14ac:dyDescent="0.25">
      <c r="A7" s="624"/>
      <c r="B7" s="625" t="s">
        <v>86</v>
      </c>
      <c r="C7" s="626"/>
      <c r="D7" s="626"/>
      <c r="E7" s="626"/>
      <c r="F7" s="626"/>
      <c r="G7" s="627"/>
    </row>
    <row r="8" spans="1:12" x14ac:dyDescent="0.25">
      <c r="A8" s="491">
        <v>1</v>
      </c>
      <c r="B8" s="628" t="s">
        <v>540</v>
      </c>
      <c r="C8" s="145">
        <f>SUM(C9:C10)</f>
        <v>52917483.969116487</v>
      </c>
      <c r="D8" s="145">
        <f>SUM(D9:D10)</f>
        <v>0</v>
      </c>
      <c r="E8" s="145">
        <f>SUM(E9:E10)</f>
        <v>0</v>
      </c>
      <c r="F8" s="145">
        <f>SUM(F9)</f>
        <v>2875000</v>
      </c>
      <c r="G8" s="629">
        <f>SUM(G9)</f>
        <v>55792483.969116487</v>
      </c>
      <c r="H8" s="859"/>
    </row>
    <row r="9" spans="1:12" x14ac:dyDescent="0.25">
      <c r="A9" s="491">
        <v>2</v>
      </c>
      <c r="B9" s="630" t="s">
        <v>20</v>
      </c>
      <c r="C9" s="145">
        <v>52917483.969116487</v>
      </c>
      <c r="D9" s="145"/>
      <c r="E9" s="145"/>
      <c r="F9" s="145">
        <v>2875000</v>
      </c>
      <c r="G9" s="629">
        <f>SUM(C9:F9)*1</f>
        <v>55792483.969116487</v>
      </c>
      <c r="H9" s="859"/>
    </row>
    <row r="10" spans="1:12" x14ac:dyDescent="0.25">
      <c r="A10" s="491">
        <v>3</v>
      </c>
      <c r="B10" s="630" t="s">
        <v>541</v>
      </c>
      <c r="C10" s="631"/>
      <c r="D10" s="631"/>
      <c r="E10" s="631"/>
      <c r="F10" s="145">
        <v>5826013.0800000001</v>
      </c>
      <c r="G10" s="629">
        <f>SUM(C10:F10)*1</f>
        <v>5826013.0800000001</v>
      </c>
      <c r="H10" s="859"/>
    </row>
    <row r="11" spans="1:12" x14ac:dyDescent="0.25">
      <c r="A11" s="491">
        <v>4</v>
      </c>
      <c r="B11" s="628" t="s">
        <v>542</v>
      </c>
      <c r="C11" s="145">
        <f>SUM(C12:C13)</f>
        <v>6149376.9500000011</v>
      </c>
      <c r="D11" s="145">
        <f>SUM(D12:D13)</f>
        <v>8912200.9999999981</v>
      </c>
      <c r="E11" s="145">
        <f>SUM(E12:E13)</f>
        <v>10989774.009999998</v>
      </c>
      <c r="F11" s="145">
        <f>SUM(F12:F13)</f>
        <v>8068.2</v>
      </c>
      <c r="G11" s="629">
        <f>SUM(G12:G13)</f>
        <v>24575591.987499997</v>
      </c>
      <c r="H11" s="859"/>
    </row>
    <row r="12" spans="1:12" x14ac:dyDescent="0.25">
      <c r="A12" s="491">
        <v>5</v>
      </c>
      <c r="B12" s="630" t="s">
        <v>543</v>
      </c>
      <c r="C12" s="145">
        <v>5805670.6000000015</v>
      </c>
      <c r="D12" s="153">
        <v>8868649.4699999988</v>
      </c>
      <c r="E12" s="145">
        <v>10975127.079999998</v>
      </c>
      <c r="F12" s="145">
        <v>8068.2</v>
      </c>
      <c r="G12" s="629">
        <f>SUM(C12:F12)*0.95</f>
        <v>24374639.582499996</v>
      </c>
      <c r="H12" s="859"/>
      <c r="J12" s="136"/>
      <c r="K12" s="632"/>
      <c r="L12" s="136"/>
    </row>
    <row r="13" spans="1:12" x14ac:dyDescent="0.25">
      <c r="A13" s="491">
        <v>6</v>
      </c>
      <c r="B13" s="630" t="s">
        <v>544</v>
      </c>
      <c r="C13" s="145">
        <v>343706.34999999992</v>
      </c>
      <c r="D13" s="153">
        <v>43551.53</v>
      </c>
      <c r="E13" s="145">
        <v>14646.93</v>
      </c>
      <c r="F13" s="145">
        <v>0</v>
      </c>
      <c r="G13" s="629">
        <f>SUM(C13:F13)/2</f>
        <v>200952.40499999994</v>
      </c>
      <c r="H13" s="859"/>
      <c r="L13" s="136">
        <f>L11-L12</f>
        <v>0</v>
      </c>
    </row>
    <row r="14" spans="1:12" x14ac:dyDescent="0.25">
      <c r="A14" s="491">
        <v>7</v>
      </c>
      <c r="B14" s="628" t="s">
        <v>545</v>
      </c>
      <c r="C14" s="145">
        <f>SUM(C15:C16)</f>
        <v>11723755.839999996</v>
      </c>
      <c r="D14" s="145">
        <f>SUM(D15:D16)</f>
        <v>54799471.369999997</v>
      </c>
      <c r="E14" s="145">
        <f>SUM(E15:E16)</f>
        <v>1520796.4500000002</v>
      </c>
      <c r="F14" s="145">
        <f>SUM(F15:F16)</f>
        <v>172272.8</v>
      </c>
      <c r="G14" s="629">
        <f>SUM(G15:G16)</f>
        <v>32909520.194999993</v>
      </c>
      <c r="H14" s="859"/>
      <c r="L14" s="136"/>
    </row>
    <row r="15" spans="1:12" ht="51" x14ac:dyDescent="0.25">
      <c r="A15" s="491">
        <v>8</v>
      </c>
      <c r="B15" s="633" t="s">
        <v>546</v>
      </c>
      <c r="C15" s="145">
        <v>9326499.7699999958</v>
      </c>
      <c r="D15" s="634">
        <v>54799471.369999997</v>
      </c>
      <c r="E15" s="634">
        <v>705515.01000000013</v>
      </c>
      <c r="F15" s="634">
        <v>172272.8</v>
      </c>
      <c r="G15" s="629">
        <f>SUM(C15:F15)/2</f>
        <v>32501879.474999994</v>
      </c>
      <c r="H15" s="859"/>
      <c r="I15" s="859"/>
      <c r="K15" s="167"/>
      <c r="L15" s="136"/>
    </row>
    <row r="16" spans="1:12" ht="26.25" x14ac:dyDescent="0.25">
      <c r="A16" s="491">
        <v>9</v>
      </c>
      <c r="B16" s="630" t="s">
        <v>547</v>
      </c>
      <c r="C16" s="635">
        <v>2397256.0699999998</v>
      </c>
      <c r="D16" s="635">
        <f>'2. SOFP'!E43</f>
        <v>0</v>
      </c>
      <c r="E16" s="145">
        <v>815281.44000000006</v>
      </c>
      <c r="F16" s="145"/>
      <c r="G16" s="629">
        <f>C16*0+D16*0+E16/2</f>
        <v>407640.72000000003</v>
      </c>
      <c r="H16" s="859"/>
    </row>
    <row r="17" spans="1:11" x14ac:dyDescent="0.25">
      <c r="A17" s="491">
        <v>10</v>
      </c>
      <c r="B17" s="628" t="s">
        <v>548</v>
      </c>
      <c r="C17" s="145"/>
      <c r="D17" s="153"/>
      <c r="E17" s="145"/>
      <c r="F17" s="145"/>
      <c r="G17" s="629"/>
    </row>
    <row r="18" spans="1:11" x14ac:dyDescent="0.25">
      <c r="A18" s="491">
        <v>11</v>
      </c>
      <c r="B18" s="628" t="s">
        <v>139</v>
      </c>
      <c r="C18" s="145">
        <f>SUM(C19:C20)</f>
        <v>6068811.9513459317</v>
      </c>
      <c r="D18" s="153">
        <f>SUM(D19:D20)</f>
        <v>240.22999999998137</v>
      </c>
      <c r="E18" s="145">
        <f>SUM(E19:E20)</f>
        <v>0</v>
      </c>
      <c r="F18" s="145">
        <f>SUM(F19:F20)</f>
        <v>0</v>
      </c>
      <c r="G18" s="629">
        <f>SUM(G19:G20)</f>
        <v>0</v>
      </c>
    </row>
    <row r="19" spans="1:11" x14ac:dyDescent="0.25">
      <c r="A19" s="491">
        <v>12</v>
      </c>
      <c r="B19" s="630" t="s">
        <v>549</v>
      </c>
      <c r="C19" s="631"/>
      <c r="D19" s="153">
        <v>240.22999999998137</v>
      </c>
      <c r="E19" s="145"/>
      <c r="F19" s="145"/>
      <c r="G19" s="629">
        <f>D19*0</f>
        <v>0</v>
      </c>
      <c r="H19" s="858"/>
    </row>
    <row r="20" spans="1:11" ht="26.25" x14ac:dyDescent="0.25">
      <c r="A20" s="491">
        <v>13</v>
      </c>
      <c r="B20" s="630" t="s">
        <v>550</v>
      </c>
      <c r="C20" s="145">
        <v>6068811.9513459317</v>
      </c>
      <c r="D20" s="145"/>
      <c r="E20" s="145"/>
      <c r="F20" s="145"/>
      <c r="G20" s="629">
        <f>C20*0</f>
        <v>0</v>
      </c>
      <c r="H20" s="859"/>
    </row>
    <row r="21" spans="1:11" x14ac:dyDescent="0.25">
      <c r="A21" s="636">
        <v>14</v>
      </c>
      <c r="B21" s="637" t="s">
        <v>551</v>
      </c>
      <c r="C21" s="631"/>
      <c r="D21" s="631"/>
      <c r="E21" s="631"/>
      <c r="F21" s="631"/>
      <c r="G21" s="638">
        <f>SUM(G8,G11,G14,G17,G18,G10)</f>
        <v>119103609.23161648</v>
      </c>
      <c r="H21" s="859"/>
      <c r="K21" s="167">
        <f>H21*2</f>
        <v>0</v>
      </c>
    </row>
    <row r="22" spans="1:11" x14ac:dyDescent="0.25">
      <c r="A22" s="639"/>
      <c r="B22" s="640" t="s">
        <v>87</v>
      </c>
      <c r="C22" s="641"/>
      <c r="D22" s="642"/>
      <c r="E22" s="641"/>
      <c r="F22" s="641"/>
      <c r="G22" s="643"/>
    </row>
    <row r="23" spans="1:11" x14ac:dyDescent="0.25">
      <c r="A23" s="491">
        <v>15</v>
      </c>
      <c r="B23" s="628" t="s">
        <v>460</v>
      </c>
      <c r="C23" s="148">
        <v>76542733.471618861</v>
      </c>
      <c r="D23" s="148"/>
      <c r="E23" s="148"/>
      <c r="F23" s="148">
        <v>26894</v>
      </c>
      <c r="G23" s="644">
        <v>3579169.830080946</v>
      </c>
      <c r="H23" s="859"/>
      <c r="I23" s="859"/>
    </row>
    <row r="24" spans="1:11" x14ac:dyDescent="0.25">
      <c r="A24" s="491">
        <v>16</v>
      </c>
      <c r="B24" s="628" t="s">
        <v>552</v>
      </c>
      <c r="C24" s="145">
        <f>SUM(C25:C27,C29,C31)</f>
        <v>0</v>
      </c>
      <c r="D24" s="153">
        <f>SUM(D25:D27,D29,D31)</f>
        <v>3099217.5428293459</v>
      </c>
      <c r="E24" s="145">
        <f>SUM(E25:E27,E29,E31)</f>
        <v>4077370.0982682975</v>
      </c>
      <c r="F24" s="145">
        <f>SUM(F25:F27,F29,F31)</f>
        <v>42953700.8087207</v>
      </c>
      <c r="G24" s="629">
        <f>SUM(G25:G27,G29,G31)</f>
        <v>40121877.970735908</v>
      </c>
      <c r="I24" s="859"/>
    </row>
    <row r="25" spans="1:11" ht="26.25" x14ac:dyDescent="0.25">
      <c r="A25" s="491">
        <v>17</v>
      </c>
      <c r="B25" s="630" t="s">
        <v>553</v>
      </c>
      <c r="C25" s="145"/>
      <c r="D25" s="153"/>
      <c r="E25" s="145"/>
      <c r="F25" s="145"/>
      <c r="G25" s="629"/>
    </row>
    <row r="26" spans="1:11" ht="26.25" x14ac:dyDescent="0.25">
      <c r="A26" s="491">
        <v>18</v>
      </c>
      <c r="B26" s="630" t="s">
        <v>554</v>
      </c>
      <c r="C26" s="145"/>
      <c r="D26" s="153">
        <v>279450.6100000001</v>
      </c>
      <c r="E26" s="145"/>
      <c r="F26" s="145"/>
      <c r="G26" s="629">
        <f>D26*0.15</f>
        <v>41917.591500000017</v>
      </c>
      <c r="H26" s="859"/>
      <c r="I26" s="859"/>
    </row>
    <row r="27" spans="1:11" x14ac:dyDescent="0.25">
      <c r="A27" s="491">
        <v>19</v>
      </c>
      <c r="B27" s="630" t="s">
        <v>555</v>
      </c>
      <c r="C27" s="145"/>
      <c r="D27" s="148">
        <v>2819766.932829346</v>
      </c>
      <c r="E27" s="148">
        <v>4029386.4114473807</v>
      </c>
      <c r="F27" s="148">
        <v>39575207.670907557</v>
      </c>
      <c r="G27" s="629">
        <v>37184249.368684277</v>
      </c>
      <c r="H27" s="859"/>
      <c r="I27" s="859"/>
    </row>
    <row r="28" spans="1:11" x14ac:dyDescent="0.25">
      <c r="A28" s="491">
        <v>20</v>
      </c>
      <c r="B28" s="645" t="s">
        <v>556</v>
      </c>
      <c r="C28" s="145"/>
      <c r="E28" s="145"/>
      <c r="F28" s="145"/>
      <c r="G28" s="629"/>
    </row>
    <row r="29" spans="1:11" x14ac:dyDescent="0.25">
      <c r="A29" s="491">
        <v>21</v>
      </c>
      <c r="B29" s="630" t="s">
        <v>557</v>
      </c>
      <c r="C29" s="145"/>
      <c r="D29" s="153"/>
      <c r="E29" s="145"/>
      <c r="F29" s="145"/>
      <c r="G29" s="629"/>
    </row>
    <row r="30" spans="1:11" x14ac:dyDescent="0.25">
      <c r="A30" s="491">
        <v>22</v>
      </c>
      <c r="B30" s="645" t="s">
        <v>556</v>
      </c>
      <c r="C30" s="145"/>
      <c r="D30" s="153"/>
      <c r="E30" s="145"/>
      <c r="F30" s="145"/>
      <c r="G30" s="629"/>
    </row>
    <row r="31" spans="1:11" x14ac:dyDescent="0.25">
      <c r="A31" s="491">
        <v>23</v>
      </c>
      <c r="B31" s="630" t="s">
        <v>558</v>
      </c>
      <c r="C31" s="145"/>
      <c r="D31" s="148">
        <v>0</v>
      </c>
      <c r="E31" s="148">
        <v>47983.686820916715</v>
      </c>
      <c r="F31" s="145">
        <v>3378493.1378131448</v>
      </c>
      <c r="G31" s="629">
        <f>E31*0.5+F31*0.85</f>
        <v>2895711.0105516315</v>
      </c>
      <c r="H31" s="859"/>
      <c r="I31" s="860"/>
    </row>
    <row r="32" spans="1:11" x14ac:dyDescent="0.25">
      <c r="A32" s="491">
        <v>24</v>
      </c>
      <c r="B32" s="628" t="s">
        <v>559</v>
      </c>
      <c r="C32" s="145"/>
      <c r="D32" s="153"/>
      <c r="E32" s="145"/>
      <c r="F32" s="145"/>
      <c r="G32" s="629"/>
    </row>
    <row r="33" spans="1:9" x14ac:dyDescent="0.25">
      <c r="A33" s="491">
        <v>25</v>
      </c>
      <c r="B33" s="628" t="s">
        <v>122</v>
      </c>
      <c r="C33" s="145">
        <f>SUM(C34:C35)</f>
        <v>15537836.060184158</v>
      </c>
      <c r="D33" s="145">
        <f>SUM(D34:D35)</f>
        <v>9854579.7434866931</v>
      </c>
      <c r="E33" s="145">
        <f>SUM(E34:E35)</f>
        <v>0</v>
      </c>
      <c r="F33" s="145">
        <f>SUM(F34:F35)</f>
        <v>9870934.8093550149</v>
      </c>
      <c r="G33" s="629">
        <f>SUM(G34:G35)</f>
        <v>30403209.047250442</v>
      </c>
    </row>
    <row r="34" spans="1:9" x14ac:dyDescent="0.25">
      <c r="A34" s="491">
        <v>26</v>
      </c>
      <c r="B34" s="630" t="s">
        <v>560</v>
      </c>
      <c r="C34" s="631"/>
      <c r="D34" s="153">
        <v>134296.61193583731</v>
      </c>
      <c r="E34" s="145"/>
      <c r="F34" s="145"/>
      <c r="G34" s="629">
        <f>D34*1</f>
        <v>134296.61193583731</v>
      </c>
      <c r="H34" s="859"/>
      <c r="I34" s="859"/>
    </row>
    <row r="35" spans="1:9" x14ac:dyDescent="0.25">
      <c r="A35" s="491">
        <v>27</v>
      </c>
      <c r="B35" s="630" t="s">
        <v>561</v>
      </c>
      <c r="C35" s="145">
        <f>'2. SOFP'!E25-'2. SOFP'!C64-'2. SOFP'!C29</f>
        <v>15537836.060184158</v>
      </c>
      <c r="D35" s="153">
        <v>9720283.1315508559</v>
      </c>
      <c r="E35" s="145"/>
      <c r="F35" s="145">
        <v>9870934.8093550149</v>
      </c>
      <c r="G35" s="629">
        <f>C35+D35*0.5+F35</f>
        <v>30268912.435314603</v>
      </c>
      <c r="H35" s="859"/>
    </row>
    <row r="36" spans="1:9" x14ac:dyDescent="0.25">
      <c r="A36" s="491">
        <v>28</v>
      </c>
      <c r="B36" s="628" t="s">
        <v>562</v>
      </c>
      <c r="C36" s="145"/>
      <c r="D36" s="153">
        <v>3469555.63</v>
      </c>
      <c r="E36" s="145">
        <v>3855798.2199999997</v>
      </c>
      <c r="F36" s="145">
        <v>431394</v>
      </c>
      <c r="G36" s="629">
        <f>D36*0.05+E36*0.1+F36*0.15</f>
        <v>623766.70349999995</v>
      </c>
    </row>
    <row r="37" spans="1:9" x14ac:dyDescent="0.25">
      <c r="A37" s="636">
        <v>29</v>
      </c>
      <c r="B37" s="637" t="s">
        <v>563</v>
      </c>
      <c r="C37" s="631"/>
      <c r="D37" s="631"/>
      <c r="E37" s="631"/>
      <c r="F37" s="631"/>
      <c r="G37" s="638">
        <f>SUM(G23:G24,G32:G33,G36)</f>
        <v>74728023.551567301</v>
      </c>
      <c r="H37" s="859"/>
      <c r="I37" s="859"/>
    </row>
    <row r="38" spans="1:9" x14ac:dyDescent="0.25">
      <c r="A38" s="624"/>
      <c r="B38" s="646"/>
      <c r="C38" s="647"/>
      <c r="D38" s="647"/>
      <c r="E38" s="647"/>
      <c r="F38" s="647"/>
      <c r="G38" s="648"/>
    </row>
    <row r="39" spans="1:9" ht="15.75" thickBot="1" x14ac:dyDescent="0.3">
      <c r="A39" s="649">
        <v>30</v>
      </c>
      <c r="B39" s="650" t="s">
        <v>30</v>
      </c>
      <c r="C39" s="651"/>
      <c r="D39" s="540"/>
      <c r="E39" s="540"/>
      <c r="F39" s="541"/>
      <c r="G39" s="652">
        <f>IFERROR(G21/G37,0)</f>
        <v>1.5938279051288848</v>
      </c>
      <c r="I39" s="843"/>
    </row>
    <row r="41" spans="1:9" x14ac:dyDescent="0.25">
      <c r="G41" s="849"/>
    </row>
    <row r="42" spans="1:9" ht="26.25" x14ac:dyDescent="0.25">
      <c r="B42" s="128" t="s">
        <v>564</v>
      </c>
    </row>
  </sheetData>
  <mergeCells count="2">
    <mergeCell ref="C5:F5"/>
    <mergeCell ref="G5:G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52254-18EC-4319-9047-5C93E9F610FA}">
  <dimension ref="A1:L51"/>
  <sheetViews>
    <sheetView tabSelected="1" zoomScaleNormal="130" workbookViewId="0">
      <pane xSplit="1" ySplit="5" topLeftCell="B6" activePane="bottomRight" state="frozen"/>
      <selection activeCell="J35" sqref="J35"/>
      <selection pane="topRight" activeCell="J35" sqref="J35"/>
      <selection pane="bottomLeft" activeCell="J35" sqref="J35"/>
      <selection pane="bottomRight" activeCell="B2" sqref="B2"/>
    </sheetView>
  </sheetViews>
  <sheetFormatPr defaultRowHeight="15.75" x14ac:dyDescent="0.3"/>
  <cols>
    <col min="1" max="1" width="9.5703125" style="127" bestFit="1" customWidth="1"/>
    <col min="2" max="2" width="55.28515625" style="25" customWidth="1"/>
    <col min="3" max="3" width="12.7109375" style="25" customWidth="1"/>
    <col min="4" max="6" width="12.7109375" style="22" customWidth="1"/>
    <col min="7" max="7" width="15" style="22" customWidth="1"/>
    <col min="8" max="8" width="15.42578125" customWidth="1"/>
    <col min="9" max="12" width="14.85546875" customWidth="1"/>
    <col min="13" max="13" width="6.7109375" customWidth="1"/>
  </cols>
  <sheetData>
    <row r="1" spans="1:12" x14ac:dyDescent="0.3">
      <c r="A1" s="23" t="s">
        <v>41</v>
      </c>
      <c r="B1" s="24" t="str">
        <f>Info!C2</f>
        <v>სს სილქ ბანკი</v>
      </c>
    </row>
    <row r="2" spans="1:12" x14ac:dyDescent="0.3">
      <c r="A2" s="23" t="s">
        <v>42</v>
      </c>
      <c r="B2" s="26">
        <v>45291</v>
      </c>
    </row>
    <row r="3" spans="1:12" ht="16.5" thickBot="1" x14ac:dyDescent="0.35">
      <c r="A3" s="23"/>
    </row>
    <row r="4" spans="1:12" ht="40.5" customHeight="1" thickBot="1" x14ac:dyDescent="0.35">
      <c r="A4" s="28" t="s">
        <v>43</v>
      </c>
      <c r="B4" s="29" t="s">
        <v>12</v>
      </c>
      <c r="C4" s="30"/>
      <c r="D4" s="31" t="s">
        <v>44</v>
      </c>
      <c r="E4" s="32"/>
      <c r="F4" s="32"/>
      <c r="G4" s="33"/>
      <c r="I4" s="34" t="s">
        <v>45</v>
      </c>
      <c r="J4" s="35"/>
      <c r="K4" s="35"/>
      <c r="L4" s="36"/>
    </row>
    <row r="5" spans="1:12" ht="15" x14ac:dyDescent="0.25">
      <c r="A5" s="37" t="s">
        <v>46</v>
      </c>
      <c r="B5" s="38"/>
      <c r="C5" s="39" t="s">
        <v>750</v>
      </c>
      <c r="D5" s="39" t="str">
        <f>IF(INT(MONTH($B$2))=3, "4"&amp;"Q"&amp;"-"&amp;YEAR($B$2)-1, IF(INT(MONTH($B$2))=6, "1"&amp;"Q"&amp;"-"&amp;YEAR($B$2), IF(INT(MONTH($B$2))=9, "2"&amp;"Q"&amp;"-"&amp;YEAR($B$2),IF(INT(MONTH($B$2))=12, "3"&amp;"Q"&amp;"-"&amp;YEAR($B$2), 0))))</f>
        <v>3Q-2023</v>
      </c>
      <c r="E5" s="39" t="str">
        <f>IF(INT(MONTH($B$2))=3, "3"&amp;"Q"&amp;"-"&amp;YEAR($B$2)-1, IF(INT(MONTH($B$2))=6, "4"&amp;"Q"&amp;"-"&amp;YEAR($B$2)-1, IF(INT(MONTH($B$2))=9, "1"&amp;"Q"&amp;"-"&amp;YEAR($B$2),IF(INT(MONTH($B$2))=12, "2"&amp;"Q"&amp;"-"&amp;YEAR($B$2), 0))))</f>
        <v>2Q-2023</v>
      </c>
      <c r="F5" s="39" t="str">
        <f>IF(INT(MONTH($B$2))=3, "2"&amp;"Q"&amp;"-"&amp;YEAR($B$2)-1, IF(INT(MONTH($B$2))=6, "3"&amp;"Q"&amp;"-"&amp;YEAR($B$2)-1, IF(INT(MONTH($B$2))=9, "4"&amp;"Q"&amp;"-"&amp;YEAR($B$2)-1,IF(INT(MONTH($B$2))=12, "1"&amp;"Q"&amp;"-"&amp;YEAR($B$2), 0))))</f>
        <v>1Q-2023</v>
      </c>
      <c r="G5" s="40" t="str">
        <f>IF(INT(MONTH($B$2))=3, "1"&amp;"Q"&amp;"-"&amp;YEAR($B$2)-1, IF(INT(MONTH($B$2))=6, "2"&amp;"Q"&amp;"-"&amp;YEAR($B$2)-1, IF(INT(MONTH($B$2))=9, "3"&amp;"Q"&amp;"-"&amp;YEAR($B$2)-1,IF(INT(MONTH($B$2))=12, "4"&amp;"Q"&amp;"-"&amp;YEAR($B$2)-1, 0))))</f>
        <v>4Q-2022</v>
      </c>
      <c r="I5" s="41" t="s">
        <v>47</v>
      </c>
      <c r="J5" s="39" t="s">
        <v>48</v>
      </c>
      <c r="K5" s="41" t="s">
        <v>49</v>
      </c>
      <c r="L5" s="39" t="s">
        <v>50</v>
      </c>
    </row>
    <row r="6" spans="1:12" ht="15" x14ac:dyDescent="0.25">
      <c r="A6" s="42"/>
      <c r="B6" s="43" t="s">
        <v>51</v>
      </c>
      <c r="C6" s="44"/>
      <c r="D6" s="45"/>
      <c r="E6" s="45"/>
      <c r="F6" s="45"/>
      <c r="G6" s="46"/>
      <c r="I6" s="47"/>
      <c r="J6" s="45"/>
      <c r="K6" s="45"/>
      <c r="L6" s="46"/>
    </row>
    <row r="7" spans="1:12" ht="15" x14ac:dyDescent="0.25">
      <c r="A7" s="42"/>
      <c r="B7" s="48" t="s">
        <v>52</v>
      </c>
      <c r="C7" s="49"/>
      <c r="D7" s="50"/>
      <c r="E7" s="50"/>
      <c r="F7" s="50"/>
      <c r="G7" s="51"/>
      <c r="I7" s="52"/>
      <c r="J7" s="50"/>
      <c r="K7" s="50"/>
      <c r="L7" s="51"/>
    </row>
    <row r="8" spans="1:12" ht="15" x14ac:dyDescent="0.25">
      <c r="A8" s="53">
        <v>1</v>
      </c>
      <c r="B8" s="54" t="s">
        <v>53</v>
      </c>
      <c r="C8" s="55">
        <v>52917483.969116479</v>
      </c>
      <c r="D8" s="56">
        <v>47232568.251399003</v>
      </c>
      <c r="E8" s="56">
        <v>49454613.058878683</v>
      </c>
      <c r="F8" s="56">
        <v>50701215.87856701</v>
      </c>
      <c r="G8" s="57">
        <v>52357110.058280259</v>
      </c>
      <c r="I8" s="58">
        <v>48511184.540000007</v>
      </c>
      <c r="J8" s="56">
        <v>47033072.099999994</v>
      </c>
      <c r="K8" s="56">
        <v>47669109.719999999</v>
      </c>
      <c r="L8" s="57">
        <v>48782730.109999999</v>
      </c>
    </row>
    <row r="9" spans="1:12" ht="15" x14ac:dyDescent="0.25">
      <c r="A9" s="53">
        <v>2</v>
      </c>
      <c r="B9" s="54" t="s">
        <v>54</v>
      </c>
      <c r="C9" s="55">
        <v>52917483.969116479</v>
      </c>
      <c r="D9" s="56">
        <v>47232568.251399003</v>
      </c>
      <c r="E9" s="56">
        <v>49454613.058878683</v>
      </c>
      <c r="F9" s="56">
        <v>50701215.87856701</v>
      </c>
      <c r="G9" s="57">
        <v>52357110.058280259</v>
      </c>
      <c r="I9" s="58">
        <v>48511184.540000007</v>
      </c>
      <c r="J9" s="56">
        <v>47033072.099999994</v>
      </c>
      <c r="K9" s="56">
        <v>47669109.719999999</v>
      </c>
      <c r="L9" s="57">
        <v>48782730.109999999</v>
      </c>
    </row>
    <row r="10" spans="1:12" ht="15" x14ac:dyDescent="0.25">
      <c r="A10" s="53">
        <v>3</v>
      </c>
      <c r="B10" s="54" t="s">
        <v>20</v>
      </c>
      <c r="C10" s="55">
        <v>55792483.969116479</v>
      </c>
      <c r="D10" s="56">
        <v>50107568.251399003</v>
      </c>
      <c r="E10" s="56">
        <v>52329613.058878683</v>
      </c>
      <c r="F10" s="56">
        <v>53576215.87856701</v>
      </c>
      <c r="G10" s="57">
        <v>55232110.058280259</v>
      </c>
      <c r="H10" s="60"/>
      <c r="I10" s="58">
        <v>51806334.150000006</v>
      </c>
      <c r="J10" s="56">
        <v>50425926.109999992</v>
      </c>
      <c r="K10" s="56">
        <v>50544809.549999997</v>
      </c>
      <c r="L10" s="57">
        <v>51647000.859999999</v>
      </c>
    </row>
    <row r="11" spans="1:12" ht="15" x14ac:dyDescent="0.25">
      <c r="A11" s="53">
        <v>4</v>
      </c>
      <c r="B11" s="54" t="s">
        <v>55</v>
      </c>
      <c r="C11" s="55">
        <v>19566432.633775767</v>
      </c>
      <c r="D11" s="56">
        <v>13538236.495725883</v>
      </c>
      <c r="E11" s="56">
        <v>11640056.833975865</v>
      </c>
      <c r="F11" s="56">
        <v>10119514.466354832</v>
      </c>
      <c r="G11" s="57">
        <v>9869797.0652740672</v>
      </c>
      <c r="I11" s="58">
        <v>6435500.856027049</v>
      </c>
      <c r="J11" s="56">
        <v>7730929.6487218384</v>
      </c>
      <c r="K11" s="56">
        <v>5206706.6113385735</v>
      </c>
      <c r="L11" s="57">
        <v>6735696.2838718379</v>
      </c>
    </row>
    <row r="12" spans="1:12" ht="15" x14ac:dyDescent="0.25">
      <c r="A12" s="53">
        <v>5</v>
      </c>
      <c r="B12" s="54" t="s">
        <v>56</v>
      </c>
      <c r="C12" s="55">
        <v>24679557.21480158</v>
      </c>
      <c r="D12" s="56">
        <v>17037392.591574989</v>
      </c>
      <c r="E12" s="56">
        <v>14486984.605279732</v>
      </c>
      <c r="F12" s="56">
        <v>12133949.698290095</v>
      </c>
      <c r="G12" s="57">
        <v>12081288.86648277</v>
      </c>
      <c r="I12" s="58">
        <v>8581167.2055233996</v>
      </c>
      <c r="J12" s="56">
        <v>10308419.729979118</v>
      </c>
      <c r="K12" s="56">
        <v>6942485.309496766</v>
      </c>
      <c r="L12" s="57">
        <v>8981159.282382451</v>
      </c>
    </row>
    <row r="13" spans="1:12" ht="15" x14ac:dyDescent="0.25">
      <c r="A13" s="53">
        <v>6</v>
      </c>
      <c r="B13" s="54" t="s">
        <v>57</v>
      </c>
      <c r="C13" s="55">
        <v>31439111.162439074</v>
      </c>
      <c r="D13" s="56">
        <v>21664886.055433322</v>
      </c>
      <c r="E13" s="56">
        <v>18251608.740372974</v>
      </c>
      <c r="F13" s="56">
        <v>15552177.06800996</v>
      </c>
      <c r="G13" s="57">
        <v>16711497.775026551</v>
      </c>
      <c r="I13" s="58">
        <v>13119687.070131311</v>
      </c>
      <c r="J13" s="56">
        <v>15779925.709801527</v>
      </c>
      <c r="K13" s="56">
        <v>12782659.366280219</v>
      </c>
      <c r="L13" s="57">
        <v>15671110.145961303</v>
      </c>
    </row>
    <row r="14" spans="1:12" ht="25.5" x14ac:dyDescent="0.25">
      <c r="A14" s="42"/>
      <c r="B14" s="43" t="s">
        <v>58</v>
      </c>
      <c r="C14" s="61"/>
      <c r="D14" s="62"/>
      <c r="E14" s="62"/>
      <c r="F14" s="62"/>
      <c r="G14" s="63"/>
      <c r="I14" s="64"/>
      <c r="J14" s="65"/>
      <c r="K14" s="65"/>
      <c r="L14" s="66"/>
    </row>
    <row r="15" spans="1:12" ht="21.95" customHeight="1" x14ac:dyDescent="0.25">
      <c r="A15" s="53">
        <v>7</v>
      </c>
      <c r="B15" s="54" t="s">
        <v>59</v>
      </c>
      <c r="C15" s="67">
        <v>120682095.89343537</v>
      </c>
      <c r="D15" s="56">
        <v>88694683.416122541</v>
      </c>
      <c r="E15" s="56">
        <v>70932856.834983379</v>
      </c>
      <c r="F15" s="56">
        <v>57614061.346276328</v>
      </c>
      <c r="G15" s="56">
        <v>61454294.813858084</v>
      </c>
      <c r="I15" s="58">
        <v>57240173.042884499</v>
      </c>
      <c r="J15" s="56">
        <v>68112948.195683539</v>
      </c>
      <c r="K15" s="56">
        <v>53853117.125751503</v>
      </c>
      <c r="L15" s="57">
        <v>71891560.79072018</v>
      </c>
    </row>
    <row r="16" spans="1:12" ht="15" x14ac:dyDescent="0.25">
      <c r="A16" s="42"/>
      <c r="B16" s="43" t="s">
        <v>60</v>
      </c>
      <c r="C16" s="68"/>
      <c r="D16" s="69"/>
      <c r="E16" s="69"/>
      <c r="F16" s="69"/>
      <c r="G16" s="70"/>
      <c r="I16" s="47"/>
      <c r="J16" s="45"/>
      <c r="K16" s="45"/>
      <c r="L16" s="46"/>
    </row>
    <row r="17" spans="1:12" ht="15" x14ac:dyDescent="0.25">
      <c r="A17" s="53"/>
      <c r="B17" s="48" t="s">
        <v>61</v>
      </c>
      <c r="C17" s="71"/>
      <c r="D17" s="72"/>
      <c r="E17" s="72"/>
      <c r="F17" s="72"/>
      <c r="G17" s="73"/>
      <c r="I17" s="52"/>
      <c r="J17" s="50"/>
      <c r="K17" s="50"/>
      <c r="L17" s="51"/>
    </row>
    <row r="18" spans="1:12" ht="15" x14ac:dyDescent="0.25">
      <c r="A18" s="53">
        <v>8</v>
      </c>
      <c r="B18" s="54" t="s">
        <v>62</v>
      </c>
      <c r="C18" s="74">
        <v>0.43848661706906084</v>
      </c>
      <c r="D18" s="74">
        <v>0.53252987024939613</v>
      </c>
      <c r="E18" s="74">
        <v>0.69720317586994696</v>
      </c>
      <c r="F18" s="74">
        <v>0.88001461264531899</v>
      </c>
      <c r="G18" s="74">
        <v>0.85196828337006014</v>
      </c>
      <c r="I18" s="75">
        <v>0.84750240890528561</v>
      </c>
      <c r="J18" s="76">
        <v>0.6905158761426301</v>
      </c>
      <c r="K18" s="76">
        <v>0.88516899790013392</v>
      </c>
      <c r="L18" s="77">
        <v>0.67855989734329025</v>
      </c>
    </row>
    <row r="19" spans="1:12" ht="15" customHeight="1" x14ac:dyDescent="0.25">
      <c r="A19" s="53">
        <v>9</v>
      </c>
      <c r="B19" s="54" t="s">
        <v>63</v>
      </c>
      <c r="C19" s="74">
        <v>0.43848661706906084</v>
      </c>
      <c r="D19" s="74">
        <v>0.53252987024939613</v>
      </c>
      <c r="E19" s="74">
        <v>0.69720317586994696</v>
      </c>
      <c r="F19" s="74">
        <v>0.88001461264531899</v>
      </c>
      <c r="G19" s="74">
        <v>0.85196828337006014</v>
      </c>
      <c r="I19" s="75">
        <v>0.84750240890528561</v>
      </c>
      <c r="J19" s="76">
        <v>0.6905158761426301</v>
      </c>
      <c r="K19" s="76">
        <v>0.88516899790013392</v>
      </c>
      <c r="L19" s="77">
        <v>0.67855989734329025</v>
      </c>
    </row>
    <row r="20" spans="1:12" ht="15" x14ac:dyDescent="0.25">
      <c r="A20" s="53">
        <v>10</v>
      </c>
      <c r="B20" s="54" t="s">
        <v>64</v>
      </c>
      <c r="C20" s="74">
        <v>0.46230953776591949</v>
      </c>
      <c r="D20" s="74">
        <v>0.56494443997632737</v>
      </c>
      <c r="E20" s="74">
        <v>0.73773446317856806</v>
      </c>
      <c r="F20" s="74">
        <v>0.9299156252248777</v>
      </c>
      <c r="G20" s="74">
        <v>0.8987510185508677</v>
      </c>
      <c r="I20" s="75">
        <v>0.9050694887170686</v>
      </c>
      <c r="J20" s="76">
        <v>0.7403280498904552</v>
      </c>
      <c r="K20" s="76">
        <v>0.93856794643796881</v>
      </c>
      <c r="L20" s="77">
        <v>0.71840144089160796</v>
      </c>
    </row>
    <row r="21" spans="1:12" ht="15" x14ac:dyDescent="0.25">
      <c r="A21" s="53">
        <v>11</v>
      </c>
      <c r="B21" s="54" t="s">
        <v>55</v>
      </c>
      <c r="C21" s="74">
        <v>0.16213202537560589</v>
      </c>
      <c r="D21" s="78">
        <v>0.15263864725926696</v>
      </c>
      <c r="E21" s="76">
        <v>0.16409964793967108</v>
      </c>
      <c r="F21" s="76">
        <v>0.17564313693377337</v>
      </c>
      <c r="G21" s="76">
        <v>0.16060386170192298</v>
      </c>
      <c r="I21" s="75">
        <v>0.11242979386532521</v>
      </c>
      <c r="J21" s="76">
        <v>0.11350161538319323</v>
      </c>
      <c r="K21" s="76">
        <v>9.6683477006177396E-2</v>
      </c>
      <c r="L21" s="77">
        <v>9.3692447483227914E-2</v>
      </c>
    </row>
    <row r="22" spans="1:12" ht="15" x14ac:dyDescent="0.25">
      <c r="A22" s="53">
        <v>12</v>
      </c>
      <c r="B22" s="79" t="s">
        <v>56</v>
      </c>
      <c r="C22" s="74">
        <v>0.20450056847367074</v>
      </c>
      <c r="D22" s="78">
        <v>0.19209034786946436</v>
      </c>
      <c r="E22" s="76">
        <v>0.20423517748597003</v>
      </c>
      <c r="F22" s="76">
        <v>0.21060743531621084</v>
      </c>
      <c r="G22" s="76">
        <v>0.19658982180295739</v>
      </c>
      <c r="I22" s="75">
        <v>0.14991511641822544</v>
      </c>
      <c r="J22" s="76">
        <v>0.151343026591123</v>
      </c>
      <c r="K22" s="76">
        <v>0.12891519897140746</v>
      </c>
      <c r="L22" s="77">
        <v>0.12492647514674277</v>
      </c>
    </row>
    <row r="23" spans="1:12" ht="15" x14ac:dyDescent="0.25">
      <c r="A23" s="53">
        <v>13</v>
      </c>
      <c r="B23" s="54" t="s">
        <v>57</v>
      </c>
      <c r="C23" s="74">
        <v>0.26051180939217711</v>
      </c>
      <c r="D23" s="78">
        <v>0.24426363814603991</v>
      </c>
      <c r="E23" s="76">
        <v>0.25730824267846863</v>
      </c>
      <c r="F23" s="76">
        <v>0.26993717687314395</v>
      </c>
      <c r="G23" s="76">
        <v>0.2719337651769469</v>
      </c>
      <c r="I23" s="75">
        <v>0.22920418252932262</v>
      </c>
      <c r="J23" s="76">
        <v>0.23167292163696906</v>
      </c>
      <c r="K23" s="76">
        <v>0.2373615502410315</v>
      </c>
      <c r="L23" s="77">
        <v>0.2179826112216518</v>
      </c>
    </row>
    <row r="24" spans="1:12" ht="15" x14ac:dyDescent="0.25">
      <c r="A24" s="42"/>
      <c r="B24" s="43" t="s">
        <v>65</v>
      </c>
      <c r="C24" s="61"/>
      <c r="D24" s="62"/>
      <c r="E24" s="62"/>
      <c r="F24" s="62"/>
      <c r="G24" s="63"/>
      <c r="I24" s="64"/>
      <c r="J24" s="65"/>
      <c r="K24" s="65"/>
      <c r="L24" s="66"/>
    </row>
    <row r="25" spans="1:12" ht="15" customHeight="1" x14ac:dyDescent="0.25">
      <c r="A25" s="80">
        <v>14</v>
      </c>
      <c r="B25" s="81" t="s">
        <v>66</v>
      </c>
      <c r="C25" s="82">
        <v>7.7535439963021022E-2</v>
      </c>
      <c r="D25" s="82">
        <v>7.2860756946315566E-2</v>
      </c>
      <c r="E25" s="83">
        <v>6.3219954094251546E-2</v>
      </c>
      <c r="F25" s="83">
        <v>6.871515570245626E-2</v>
      </c>
      <c r="G25" s="84">
        <v>6.4548651401964655E-2</v>
      </c>
      <c r="H25" s="85"/>
      <c r="I25" s="86">
        <v>6.9976078573742315E-2</v>
      </c>
      <c r="J25" s="83">
        <v>8.6712764166882422E-2</v>
      </c>
      <c r="K25" s="83">
        <v>6.8644437943282871E-2</v>
      </c>
      <c r="L25" s="84">
        <v>6.6340453031664887E-2</v>
      </c>
    </row>
    <row r="26" spans="1:12" ht="15" x14ac:dyDescent="0.25">
      <c r="A26" s="80">
        <v>15</v>
      </c>
      <c r="B26" s="81" t="s">
        <v>67</v>
      </c>
      <c r="C26" s="82">
        <v>4.4284697999869553E-2</v>
      </c>
      <c r="D26" s="87">
        <v>3.7486925624787927E-2</v>
      </c>
      <c r="E26" s="83">
        <v>1.9930076898371032E-2</v>
      </c>
      <c r="F26" s="83">
        <v>1.8944117503635696E-2</v>
      </c>
      <c r="G26" s="84">
        <v>2.7292070466854432E-2</v>
      </c>
      <c r="H26" s="85"/>
      <c r="I26" s="86">
        <v>2.9409129873193305E-2</v>
      </c>
      <c r="J26" s="83">
        <v>3.7733216878770522E-2</v>
      </c>
      <c r="K26" s="83">
        <v>3.1564328779412947E-2</v>
      </c>
      <c r="L26" s="84">
        <v>3.1725445419185233E-2</v>
      </c>
    </row>
    <row r="27" spans="1:12" ht="15" x14ac:dyDescent="0.25">
      <c r="A27" s="80">
        <v>16</v>
      </c>
      <c r="B27" s="81" t="s">
        <v>68</v>
      </c>
      <c r="C27" s="82">
        <v>-5.0980843798509555E-2</v>
      </c>
      <c r="D27" s="87">
        <v>-4.6088032368245886E-2</v>
      </c>
      <c r="E27" s="83">
        <v>-4.0784680519248731E-2</v>
      </c>
      <c r="F27" s="83">
        <v>-3.6757572980345238E-2</v>
      </c>
      <c r="G27" s="84">
        <v>-2.8734242001635307E-2</v>
      </c>
      <c r="H27" s="85"/>
      <c r="I27" s="86">
        <v>-2.5967160101922751E-2</v>
      </c>
      <c r="J27" s="83">
        <v>-3.3195023967773338E-2</v>
      </c>
      <c r="K27" s="83">
        <v>-2.6266127410361082E-2</v>
      </c>
      <c r="L27" s="84">
        <v>-3.0832339776697228E-2</v>
      </c>
    </row>
    <row r="28" spans="1:12" ht="15" x14ac:dyDescent="0.25">
      <c r="A28" s="80">
        <v>17</v>
      </c>
      <c r="B28" s="81" t="s">
        <v>69</v>
      </c>
      <c r="C28" s="82">
        <v>3.3250741963151476E-2</v>
      </c>
      <c r="D28" s="87">
        <v>3.5373831321527632E-2</v>
      </c>
      <c r="E28" s="83">
        <v>4.3289877195880518E-2</v>
      </c>
      <c r="F28" s="83">
        <v>4.9771038198820568E-2</v>
      </c>
      <c r="G28" s="84">
        <v>3.7258573709081005E-2</v>
      </c>
      <c r="H28" s="85"/>
      <c r="I28" s="86">
        <v>4.0566948700549006E-2</v>
      </c>
      <c r="J28" s="83">
        <v>4.8979547288111901E-2</v>
      </c>
      <c r="K28" s="83">
        <v>3.7080109163869925E-2</v>
      </c>
      <c r="L28" s="84">
        <v>3.4615007612479654E-2</v>
      </c>
    </row>
    <row r="29" spans="1:12" ht="15" x14ac:dyDescent="0.25">
      <c r="A29" s="80">
        <v>18</v>
      </c>
      <c r="B29" s="81" t="s">
        <v>70</v>
      </c>
      <c r="C29" s="82">
        <v>-6.0309496137747956E-2</v>
      </c>
      <c r="D29" s="87">
        <v>-5.2010519987636741E-2</v>
      </c>
      <c r="E29" s="83">
        <v>-5.092813629758406E-2</v>
      </c>
      <c r="F29" s="83">
        <v>-5.5093624167006743E-2</v>
      </c>
      <c r="G29" s="84">
        <v>-4.2491248458520849E-2</v>
      </c>
      <c r="H29" s="85"/>
      <c r="I29" s="86">
        <v>-3.3122255484799017E-2</v>
      </c>
      <c r="J29" s="83">
        <v>-4.8911011129122245E-2</v>
      </c>
      <c r="K29" s="83">
        <v>-4.3456904238065724E-2</v>
      </c>
      <c r="L29" s="84">
        <v>-3.6956771619234767E-2</v>
      </c>
    </row>
    <row r="30" spans="1:12" ht="15" x14ac:dyDescent="0.25">
      <c r="A30" s="80">
        <v>19</v>
      </c>
      <c r="B30" s="81" t="s">
        <v>71</v>
      </c>
      <c r="C30" s="82">
        <v>-0.13505280416086754</v>
      </c>
      <c r="D30" s="87">
        <v>-0.10451859967494685</v>
      </c>
      <c r="E30" s="83">
        <v>-8.5388117838136657E-2</v>
      </c>
      <c r="F30" s="83">
        <v>-8.206638848692803E-2</v>
      </c>
      <c r="G30" s="84">
        <v>-6.5775634587289161E-2</v>
      </c>
      <c r="H30" s="85"/>
      <c r="I30" s="86">
        <v>-5.4955915971710907E-2</v>
      </c>
      <c r="J30" s="83">
        <v>-8.0165581024978935E-2</v>
      </c>
      <c r="K30" s="83">
        <v>-7.1654535872239203E-2</v>
      </c>
      <c r="L30" s="84">
        <v>-6.2810585501920951E-2</v>
      </c>
    </row>
    <row r="31" spans="1:12" ht="15" x14ac:dyDescent="0.25">
      <c r="A31" s="42"/>
      <c r="B31" s="43" t="s">
        <v>72</v>
      </c>
      <c r="C31" s="61"/>
      <c r="D31" s="62"/>
      <c r="E31" s="62"/>
      <c r="F31" s="62"/>
      <c r="G31" s="63"/>
      <c r="I31" s="64"/>
      <c r="J31" s="65"/>
      <c r="K31" s="65"/>
      <c r="L31" s="66"/>
    </row>
    <row r="32" spans="1:12" ht="15" x14ac:dyDescent="0.25">
      <c r="A32" s="80">
        <v>20</v>
      </c>
      <c r="B32" s="81" t="s">
        <v>73</v>
      </c>
      <c r="C32" s="88">
        <v>2.1832662512139049E-2</v>
      </c>
      <c r="D32" s="87">
        <v>3.7767671694559191E-2</v>
      </c>
      <c r="E32" s="83">
        <v>5.6273561937663592E-2</v>
      </c>
      <c r="F32" s="83">
        <v>6.812416279729494E-2</v>
      </c>
      <c r="G32" s="84">
        <v>6.3630471777496839E-2</v>
      </c>
      <c r="I32" s="86">
        <v>7.1593592432212444E-2</v>
      </c>
      <c r="J32" s="83">
        <v>9.7700818052230035E-2</v>
      </c>
      <c r="K32" s="83">
        <v>0.1459437829377751</v>
      </c>
      <c r="L32" s="84">
        <v>0.16505744055088239</v>
      </c>
    </row>
    <row r="33" spans="1:12" ht="15" customHeight="1" x14ac:dyDescent="0.25">
      <c r="A33" s="80">
        <v>21</v>
      </c>
      <c r="B33" s="81" t="s">
        <v>74</v>
      </c>
      <c r="C33" s="88">
        <v>3.0115483956873659E-2</v>
      </c>
      <c r="D33" s="87">
        <v>3.7767671694559191E-2</v>
      </c>
      <c r="E33" s="83">
        <v>4.524543007917637E-2</v>
      </c>
      <c r="F33" s="83">
        <v>4.8700707842852749E-2</v>
      </c>
      <c r="G33" s="84">
        <v>4.5844323891332479E-2</v>
      </c>
      <c r="I33" s="86">
        <v>4.2022503882801265E-2</v>
      </c>
      <c r="J33" s="83">
        <v>5.0902620948851923E-2</v>
      </c>
      <c r="K33" s="83">
        <v>6.4883518819109212E-2</v>
      </c>
      <c r="L33" s="84">
        <v>6.9545281550102159E-2</v>
      </c>
    </row>
    <row r="34" spans="1:12" ht="15" x14ac:dyDescent="0.25">
      <c r="A34" s="80">
        <v>22</v>
      </c>
      <c r="B34" s="81" t="s">
        <v>75</v>
      </c>
      <c r="C34" s="88">
        <v>0.31518467966823016</v>
      </c>
      <c r="D34" s="87">
        <v>0.43036893477315696</v>
      </c>
      <c r="E34" s="83">
        <v>0.39556562021042679</v>
      </c>
      <c r="F34" s="83">
        <v>0.39067944788619285</v>
      </c>
      <c r="G34" s="84">
        <v>0.32727225428488882</v>
      </c>
      <c r="I34" s="86">
        <v>0.37000812830572832</v>
      </c>
      <c r="J34" s="83">
        <v>0.33008692441883963</v>
      </c>
      <c r="K34" s="83">
        <v>0.19592437409026345</v>
      </c>
      <c r="L34" s="84">
        <v>0.22430830972248131</v>
      </c>
    </row>
    <row r="35" spans="1:12" ht="15" customHeight="1" x14ac:dyDescent="0.25">
      <c r="A35" s="80">
        <v>23</v>
      </c>
      <c r="B35" s="81" t="s">
        <v>76</v>
      </c>
      <c r="C35" s="88">
        <v>0.19583295684979968</v>
      </c>
      <c r="D35" s="87">
        <v>0.15726929087587752</v>
      </c>
      <c r="E35" s="83">
        <v>9.7451449403516091E-2</v>
      </c>
      <c r="F35" s="83">
        <v>0.17916446177110151</v>
      </c>
      <c r="G35" s="84">
        <v>0.12851902809982563</v>
      </c>
      <c r="I35" s="86">
        <v>0.14465277297749282</v>
      </c>
      <c r="J35" s="83">
        <v>0.1977002062449103</v>
      </c>
      <c r="K35" s="83">
        <v>7.5296942059711172E-2</v>
      </c>
      <c r="L35" s="84">
        <v>0.21782155335133591</v>
      </c>
    </row>
    <row r="36" spans="1:12" ht="15" x14ac:dyDescent="0.25">
      <c r="A36" s="80">
        <v>24</v>
      </c>
      <c r="B36" s="81" t="s">
        <v>77</v>
      </c>
      <c r="C36" s="82">
        <v>1.8824198694956844</v>
      </c>
      <c r="D36" s="87">
        <v>0.6149716047200815</v>
      </c>
      <c r="E36" s="83">
        <v>0.12520805739140259</v>
      </c>
      <c r="F36" s="83">
        <v>-6.3847306915676527E-2</v>
      </c>
      <c r="G36" s="84">
        <v>0.21692228790811771</v>
      </c>
      <c r="I36" s="86">
        <v>0.21923715516628856</v>
      </c>
      <c r="J36" s="83">
        <v>0.46099129096252295</v>
      </c>
      <c r="K36" s="83">
        <v>1.3803265912725002E-2</v>
      </c>
      <c r="L36" s="89">
        <v>7.1589516154703706E-4</v>
      </c>
    </row>
    <row r="37" spans="1:12" ht="15" customHeight="1" x14ac:dyDescent="0.25">
      <c r="A37" s="42"/>
      <c r="B37" s="43" t="s">
        <v>78</v>
      </c>
      <c r="C37" s="90"/>
      <c r="D37" s="91"/>
      <c r="E37" s="91"/>
      <c r="F37" s="91"/>
      <c r="G37" s="92"/>
      <c r="I37" s="64"/>
      <c r="J37" s="65"/>
      <c r="K37" s="65"/>
      <c r="L37" s="66"/>
    </row>
    <row r="38" spans="1:12" ht="15" customHeight="1" x14ac:dyDescent="0.25">
      <c r="A38" s="80">
        <v>25</v>
      </c>
      <c r="B38" s="81" t="s">
        <v>79</v>
      </c>
      <c r="C38" s="88">
        <v>0.28912024057597607</v>
      </c>
      <c r="D38" s="82">
        <v>0.27565816724166298</v>
      </c>
      <c r="E38" s="88">
        <v>0.34716100710979098</v>
      </c>
      <c r="F38" s="88">
        <v>0.43477256414539994</v>
      </c>
      <c r="G38" s="93">
        <v>0.31885440522479719</v>
      </c>
      <c r="I38" s="94">
        <v>0.35278899881582926</v>
      </c>
      <c r="J38" s="88">
        <v>0.32247973720512596</v>
      </c>
      <c r="K38" s="88">
        <v>0.44772812081063196</v>
      </c>
      <c r="L38" s="93">
        <v>0.35465761211009106</v>
      </c>
    </row>
    <row r="39" spans="1:12" ht="15" customHeight="1" x14ac:dyDescent="0.25">
      <c r="A39" s="80">
        <v>26</v>
      </c>
      <c r="B39" s="81" t="s">
        <v>80</v>
      </c>
      <c r="C39" s="88">
        <v>0.20831236350067919</v>
      </c>
      <c r="D39" s="82">
        <v>0.20196748306875525</v>
      </c>
      <c r="E39" s="88">
        <v>0.16939085636526741</v>
      </c>
      <c r="F39" s="88">
        <v>0.35805597760042157</v>
      </c>
      <c r="G39" s="93">
        <v>0.23993483258730672</v>
      </c>
      <c r="I39" s="94">
        <v>0.2688375631872657</v>
      </c>
      <c r="J39" s="88">
        <v>0.2686654432456681</v>
      </c>
      <c r="K39" s="88">
        <v>0.16477854600384689</v>
      </c>
      <c r="L39" s="93">
        <v>0.13308155848890119</v>
      </c>
    </row>
    <row r="40" spans="1:12" ht="15" customHeight="1" x14ac:dyDescent="0.25">
      <c r="A40" s="80">
        <v>27</v>
      </c>
      <c r="B40" s="95" t="s">
        <v>81</v>
      </c>
      <c r="C40" s="82">
        <v>0.10698037966067793</v>
      </c>
      <c r="D40" s="82">
        <v>8.2859139345820607E-2</v>
      </c>
      <c r="E40" s="88">
        <v>9.4277042563089886E-2</v>
      </c>
      <c r="F40" s="88">
        <v>0.12064636343155606</v>
      </c>
      <c r="G40" s="93">
        <v>0.12827975782739554</v>
      </c>
      <c r="I40" s="94">
        <v>0.14195045816821317</v>
      </c>
      <c r="J40" s="88">
        <v>0.12465381841449046</v>
      </c>
      <c r="K40" s="88">
        <v>8.4388384081508658E-2</v>
      </c>
      <c r="L40" s="93">
        <v>0.1256366601234441</v>
      </c>
    </row>
    <row r="41" spans="1:12" ht="15" customHeight="1" x14ac:dyDescent="0.25">
      <c r="A41" s="96"/>
      <c r="B41" s="43" t="s">
        <v>82</v>
      </c>
      <c r="C41" s="61"/>
      <c r="D41" s="62"/>
      <c r="E41" s="62"/>
      <c r="F41" s="62"/>
      <c r="G41" s="63"/>
      <c r="I41" s="64"/>
      <c r="J41" s="65"/>
      <c r="K41" s="65"/>
      <c r="L41" s="66"/>
    </row>
    <row r="42" spans="1:12" ht="15" customHeight="1" x14ac:dyDescent="0.25">
      <c r="A42" s="80">
        <v>28</v>
      </c>
      <c r="B42" s="97" t="s">
        <v>83</v>
      </c>
      <c r="C42" s="55">
        <v>74710514.070000008</v>
      </c>
      <c r="D42" s="55">
        <v>96974791.719999999</v>
      </c>
      <c r="E42" s="98">
        <v>44459514.869999997</v>
      </c>
      <c r="F42" s="98">
        <v>36068071.213978499</v>
      </c>
      <c r="G42" s="99">
        <v>28839575.869999997</v>
      </c>
      <c r="I42" s="100">
        <v>28839575.869999997</v>
      </c>
      <c r="J42" s="95">
        <v>39070286.440000005</v>
      </c>
      <c r="K42" s="95">
        <v>37577645.133626401</v>
      </c>
      <c r="L42" s="101">
        <v>33641079.189999998</v>
      </c>
    </row>
    <row r="43" spans="1:12" ht="15" x14ac:dyDescent="0.25">
      <c r="A43" s="80">
        <v>29</v>
      </c>
      <c r="B43" s="81" t="s">
        <v>84</v>
      </c>
      <c r="C43" s="55">
        <v>11383112.439399999</v>
      </c>
      <c r="D43" s="55">
        <v>14300782.389699999</v>
      </c>
      <c r="E43" s="102">
        <v>14725616.939399999</v>
      </c>
      <c r="F43" s="102">
        <v>12130233.89205</v>
      </c>
      <c r="G43" s="103">
        <v>9804896.4565543793</v>
      </c>
      <c r="I43" s="104">
        <v>12047888.378249999</v>
      </c>
      <c r="J43" s="105">
        <v>13254812.613400001</v>
      </c>
      <c r="K43" s="105">
        <v>12869564.5162</v>
      </c>
      <c r="L43" s="106">
        <v>11877040.71415</v>
      </c>
    </row>
    <row r="44" spans="1:12" ht="15" x14ac:dyDescent="0.25">
      <c r="A44" s="107">
        <v>30</v>
      </c>
      <c r="B44" s="108" t="s">
        <v>85</v>
      </c>
      <c r="C44" s="109">
        <v>6.5632764736125173</v>
      </c>
      <c r="D44" s="109">
        <v>6.7810829559818462</v>
      </c>
      <c r="E44" s="110">
        <v>3.0191953962243647</v>
      </c>
      <c r="F44" s="110">
        <v>2.9734027830755227</v>
      </c>
      <c r="G44" s="110">
        <v>2.9413442556776119</v>
      </c>
      <c r="I44" s="94">
        <v>2.3937452742394227</v>
      </c>
      <c r="J44" s="88">
        <v>2.9476302366207543</v>
      </c>
      <c r="K44" s="88">
        <v>2.9198847471741773</v>
      </c>
      <c r="L44" s="93">
        <v>2.8324462296336899</v>
      </c>
    </row>
    <row r="45" spans="1:12" ht="15" x14ac:dyDescent="0.25">
      <c r="A45" s="107"/>
      <c r="B45" s="43" t="s">
        <v>30</v>
      </c>
      <c r="C45" s="61"/>
      <c r="D45" s="62"/>
      <c r="E45" s="62"/>
      <c r="F45" s="62"/>
      <c r="G45" s="63"/>
      <c r="I45" s="64"/>
      <c r="J45" s="65"/>
      <c r="K45" s="65"/>
      <c r="L45" s="66"/>
    </row>
    <row r="46" spans="1:12" ht="15" x14ac:dyDescent="0.25">
      <c r="A46" s="107">
        <v>31</v>
      </c>
      <c r="B46" s="108" t="s">
        <v>86</v>
      </c>
      <c r="C46" s="55">
        <v>119103609.23161648</v>
      </c>
      <c r="D46" s="111">
        <v>106656234.33489899</v>
      </c>
      <c r="E46" s="111">
        <v>99197616.174378678</v>
      </c>
      <c r="F46" s="111">
        <v>63614640.219067007</v>
      </c>
      <c r="G46" s="112">
        <v>65163981.272780247</v>
      </c>
      <c r="I46" s="113">
        <v>61318055.754500002</v>
      </c>
      <c r="J46" s="114">
        <v>57487096.908499993</v>
      </c>
      <c r="K46" s="114">
        <v>56004417.652500004</v>
      </c>
      <c r="L46" s="115">
        <v>60000891.506999999</v>
      </c>
    </row>
    <row r="47" spans="1:12" ht="15" x14ac:dyDescent="0.25">
      <c r="A47" s="107">
        <v>32</v>
      </c>
      <c r="B47" s="108" t="s">
        <v>87</v>
      </c>
      <c r="C47" s="55">
        <v>74728023.551567301</v>
      </c>
      <c r="D47" s="111">
        <v>52644786.448199168</v>
      </c>
      <c r="E47" s="111">
        <v>43498444.916133597</v>
      </c>
      <c r="F47" s="111">
        <v>37545109.733712941</v>
      </c>
      <c r="G47" s="112">
        <v>39796533.186461464</v>
      </c>
      <c r="I47" s="113">
        <v>36598605.940775007</v>
      </c>
      <c r="J47" s="114">
        <v>39372851.676900022</v>
      </c>
      <c r="K47" s="114">
        <v>31849325.489900008</v>
      </c>
      <c r="L47" s="115">
        <v>31615845.140500002</v>
      </c>
    </row>
    <row r="48" spans="1:12" thickBot="1" x14ac:dyDescent="0.3">
      <c r="A48" s="116">
        <v>33</v>
      </c>
      <c r="B48" s="117" t="s">
        <v>88</v>
      </c>
      <c r="C48" s="118">
        <v>1.5938279051288848</v>
      </c>
      <c r="D48" s="119">
        <v>2.0259600528505404</v>
      </c>
      <c r="E48" s="120">
        <v>2.2804864947617065</v>
      </c>
      <c r="F48" s="120">
        <v>1.6943522251033778</v>
      </c>
      <c r="G48" s="121">
        <v>1.6374285912660511</v>
      </c>
      <c r="I48" s="122">
        <v>1.6754205297799258</v>
      </c>
      <c r="J48" s="123">
        <v>1.4600694249999566</v>
      </c>
      <c r="K48" s="123">
        <v>1.7584176993092053</v>
      </c>
      <c r="L48" s="124">
        <v>1.8978107730588123</v>
      </c>
    </row>
    <row r="49" spans="1:3" x14ac:dyDescent="0.3">
      <c r="A49" s="125"/>
      <c r="C49" s="126">
        <v>0</v>
      </c>
    </row>
    <row r="50" spans="1:3" ht="52.5" x14ac:dyDescent="0.3">
      <c r="B50" s="128" t="s">
        <v>89</v>
      </c>
    </row>
    <row r="51" spans="1:3" ht="90.75" x14ac:dyDescent="0.3">
      <c r="B51" s="129" t="s">
        <v>90</v>
      </c>
    </row>
  </sheetData>
  <mergeCells count="11">
    <mergeCell ref="I24:L24"/>
    <mergeCell ref="I31:L31"/>
    <mergeCell ref="I37:L37"/>
    <mergeCell ref="I41:L41"/>
    <mergeCell ref="I45:L45"/>
    <mergeCell ref="D4:G4"/>
    <mergeCell ref="I4:L4"/>
    <mergeCell ref="C6:G7"/>
    <mergeCell ref="I6:L7"/>
    <mergeCell ref="I14:L14"/>
    <mergeCell ref="I16:L1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F54B3-6F7D-4CE9-BF58-1F084FE7E689}">
  <dimension ref="A1:Q22"/>
  <sheetViews>
    <sheetView showGridLines="0" zoomScale="115" zoomScaleNormal="115" workbookViewId="0">
      <selection activeCell="C8" sqref="C8:H22"/>
    </sheetView>
  </sheetViews>
  <sheetFormatPr defaultColWidth="9.140625" defaultRowHeight="12.75" x14ac:dyDescent="0.25"/>
  <cols>
    <col min="1" max="1" width="11.85546875" style="654" bestFit="1" customWidth="1"/>
    <col min="2" max="2" width="92.28515625" style="654" customWidth="1"/>
    <col min="3" max="4" width="15.28515625" style="654" customWidth="1"/>
    <col min="5" max="5" width="17.42578125" style="654" bestFit="1" customWidth="1"/>
    <col min="6" max="6" width="15.85546875" style="654" customWidth="1"/>
    <col min="7" max="7" width="16" style="654" customWidth="1"/>
    <col min="8" max="8" width="16.85546875" style="654" customWidth="1"/>
    <col min="9" max="9" width="12.28515625" style="861" bestFit="1" customWidth="1"/>
    <col min="10" max="10" width="10.140625" style="861" bestFit="1" customWidth="1"/>
    <col min="11" max="17" width="9.140625" style="861"/>
    <col min="18" max="16384" width="9.140625" style="654"/>
  </cols>
  <sheetData>
    <row r="1" spans="1:11" ht="13.5" x14ac:dyDescent="0.25">
      <c r="A1" s="653" t="s">
        <v>41</v>
      </c>
      <c r="B1" s="24" t="str">
        <f>Info!C2</f>
        <v>სს სილქ ბანკი</v>
      </c>
    </row>
    <row r="2" spans="1:11" x14ac:dyDescent="0.25">
      <c r="A2" s="653" t="s">
        <v>42</v>
      </c>
      <c r="B2" s="655">
        <f>'1. key ratios'!B2</f>
        <v>45291</v>
      </c>
    </row>
    <row r="3" spans="1:11" x14ac:dyDescent="0.25">
      <c r="A3" s="656" t="s">
        <v>565</v>
      </c>
    </row>
    <row r="4" spans="1:11" ht="40.5" customHeight="1" x14ac:dyDescent="0.25"/>
    <row r="5" spans="1:11" x14ac:dyDescent="0.25">
      <c r="A5" s="657" t="s">
        <v>566</v>
      </c>
      <c r="B5" s="658"/>
      <c r="C5" s="659" t="s">
        <v>567</v>
      </c>
      <c r="D5" s="660"/>
      <c r="E5" s="660"/>
      <c r="F5" s="660"/>
      <c r="G5" s="660"/>
      <c r="H5" s="661"/>
    </row>
    <row r="6" spans="1:11" x14ac:dyDescent="0.25">
      <c r="A6" s="662"/>
      <c r="B6" s="663"/>
      <c r="C6" s="664"/>
      <c r="D6" s="665"/>
      <c r="E6" s="665"/>
      <c r="F6" s="665"/>
      <c r="G6" s="665"/>
      <c r="H6" s="666"/>
    </row>
    <row r="7" spans="1:11" ht="38.25" x14ac:dyDescent="0.25">
      <c r="A7" s="667"/>
      <c r="B7" s="668"/>
      <c r="C7" s="669" t="s">
        <v>568</v>
      </c>
      <c r="D7" s="669" t="s">
        <v>569</v>
      </c>
      <c r="E7" s="669" t="s">
        <v>570</v>
      </c>
      <c r="F7" s="669" t="s">
        <v>571</v>
      </c>
      <c r="G7" s="669" t="s">
        <v>572</v>
      </c>
      <c r="H7" s="669" t="s">
        <v>96</v>
      </c>
    </row>
    <row r="8" spans="1:11" x14ac:dyDescent="0.25">
      <c r="A8" s="670">
        <v>1</v>
      </c>
      <c r="B8" s="671" t="s">
        <v>408</v>
      </c>
      <c r="C8" s="672">
        <v>352914.17999994429</v>
      </c>
      <c r="D8" s="673">
        <v>1009825.4777969164</v>
      </c>
      <c r="E8" s="672">
        <v>25277636.967284162</v>
      </c>
      <c r="F8" s="672">
        <v>1413150.3034798349</v>
      </c>
      <c r="G8" s="674"/>
      <c r="H8" s="673">
        <f t="shared" ref="H8:H21" si="0">SUM(C8:G8)</f>
        <v>28053526.928560857</v>
      </c>
      <c r="I8" s="862"/>
    </row>
    <row r="9" spans="1:11" x14ac:dyDescent="0.25">
      <c r="A9" s="670">
        <v>2</v>
      </c>
      <c r="B9" s="671" t="s">
        <v>409</v>
      </c>
      <c r="C9" s="674"/>
      <c r="D9" s="674"/>
      <c r="E9" s="674"/>
      <c r="F9" s="674"/>
      <c r="G9" s="674"/>
      <c r="H9" s="673">
        <f t="shared" si="0"/>
        <v>0</v>
      </c>
      <c r="I9" s="862"/>
    </row>
    <row r="10" spans="1:11" x14ac:dyDescent="0.25">
      <c r="A10" s="670">
        <v>3</v>
      </c>
      <c r="B10" s="671" t="s">
        <v>410</v>
      </c>
      <c r="C10" s="674"/>
      <c r="D10" s="674"/>
      <c r="E10" s="674"/>
      <c r="F10" s="674"/>
      <c r="G10" s="674"/>
      <c r="H10" s="673">
        <f t="shared" si="0"/>
        <v>0</v>
      </c>
      <c r="I10" s="862"/>
    </row>
    <row r="11" spans="1:11" x14ac:dyDescent="0.25">
      <c r="A11" s="670">
        <v>4</v>
      </c>
      <c r="B11" s="671" t="s">
        <v>411</v>
      </c>
      <c r="C11" s="674"/>
      <c r="D11" s="674"/>
      <c r="E11" s="674"/>
      <c r="F11" s="674"/>
      <c r="G11" s="674"/>
      <c r="H11" s="673">
        <f t="shared" si="0"/>
        <v>0</v>
      </c>
      <c r="I11" s="862"/>
      <c r="J11" s="863"/>
    </row>
    <row r="12" spans="1:11" x14ac:dyDescent="0.25">
      <c r="A12" s="670">
        <v>5</v>
      </c>
      <c r="B12" s="671" t="s">
        <v>412</v>
      </c>
      <c r="C12" s="674"/>
      <c r="D12" s="674"/>
      <c r="E12" s="674"/>
      <c r="F12" s="674"/>
      <c r="G12" s="674"/>
      <c r="H12" s="673">
        <f t="shared" si="0"/>
        <v>0</v>
      </c>
      <c r="I12" s="862"/>
    </row>
    <row r="13" spans="1:11" x14ac:dyDescent="0.25">
      <c r="A13" s="670">
        <v>6</v>
      </c>
      <c r="B13" s="671" t="s">
        <v>413</v>
      </c>
      <c r="C13" s="673">
        <v>9109678.971618928</v>
      </c>
      <c r="D13" s="672">
        <v>39500000</v>
      </c>
      <c r="E13" s="674"/>
      <c r="F13" s="672">
        <v>26894</v>
      </c>
      <c r="G13" s="674"/>
      <c r="H13" s="673">
        <f t="shared" si="0"/>
        <v>48636572.971618928</v>
      </c>
      <c r="I13" s="862"/>
      <c r="J13" s="864"/>
    </row>
    <row r="14" spans="1:11" x14ac:dyDescent="0.25">
      <c r="A14" s="676">
        <v>7</v>
      </c>
      <c r="B14" s="677" t="s">
        <v>414</v>
      </c>
      <c r="C14" s="674"/>
      <c r="D14" s="672">
        <v>14939497.326479733</v>
      </c>
      <c r="E14" s="672">
        <v>10155384.687181722</v>
      </c>
      <c r="F14" s="672">
        <v>16460686.448825078</v>
      </c>
      <c r="G14" s="678">
        <v>0</v>
      </c>
      <c r="H14" s="672">
        <f t="shared" si="0"/>
        <v>41555568.462486535</v>
      </c>
      <c r="I14" s="862"/>
      <c r="J14" s="865"/>
      <c r="K14" s="866"/>
    </row>
    <row r="15" spans="1:11" x14ac:dyDescent="0.25">
      <c r="A15" s="676">
        <v>8</v>
      </c>
      <c r="B15" s="677" t="s">
        <v>415</v>
      </c>
      <c r="C15" s="674"/>
      <c r="D15" s="672">
        <v>2007928.1019489726</v>
      </c>
      <c r="E15" s="672">
        <v>9866536.3596254289</v>
      </c>
      <c r="F15" s="672">
        <v>2638607.2418337287</v>
      </c>
      <c r="G15" s="672">
        <v>17198.085489674613</v>
      </c>
      <c r="H15" s="672">
        <f>SUM(C15:G15)</f>
        <v>14530269.788897805</v>
      </c>
      <c r="I15" s="862"/>
    </row>
    <row r="16" spans="1:11" x14ac:dyDescent="0.25">
      <c r="A16" s="670">
        <v>9</v>
      </c>
      <c r="B16" s="671" t="s">
        <v>416</v>
      </c>
      <c r="C16" s="674"/>
      <c r="D16" s="673"/>
      <c r="E16" s="673"/>
      <c r="F16" s="673"/>
      <c r="G16" s="674"/>
      <c r="H16" s="673">
        <f t="shared" si="0"/>
        <v>0</v>
      </c>
      <c r="I16" s="867"/>
    </row>
    <row r="17" spans="1:11" x14ac:dyDescent="0.25">
      <c r="A17" s="670">
        <v>10</v>
      </c>
      <c r="B17" s="679" t="s">
        <v>417</v>
      </c>
      <c r="C17" s="674"/>
      <c r="D17" s="673">
        <v>349133.41709704057</v>
      </c>
      <c r="E17" s="673">
        <v>61070.247411097007</v>
      </c>
      <c r="F17" s="673">
        <v>24512.426451159619</v>
      </c>
      <c r="G17" s="673">
        <v>0</v>
      </c>
      <c r="H17" s="673">
        <f t="shared" si="0"/>
        <v>434716.0909592972</v>
      </c>
      <c r="I17" s="862"/>
      <c r="J17" s="863"/>
    </row>
    <row r="18" spans="1:11" x14ac:dyDescent="0.25">
      <c r="A18" s="670">
        <v>11</v>
      </c>
      <c r="B18" s="671" t="s">
        <v>418</v>
      </c>
      <c r="C18" s="674"/>
      <c r="D18" s="678">
        <v>0</v>
      </c>
      <c r="E18" s="678">
        <v>0</v>
      </c>
      <c r="F18" s="674">
        <v>0</v>
      </c>
      <c r="G18" s="678">
        <v>0</v>
      </c>
      <c r="H18" s="673">
        <f t="shared" si="0"/>
        <v>0</v>
      </c>
      <c r="I18" s="862"/>
    </row>
    <row r="19" spans="1:11" x14ac:dyDescent="0.25">
      <c r="A19" s="670">
        <v>12</v>
      </c>
      <c r="B19" s="671" t="s">
        <v>419</v>
      </c>
      <c r="C19" s="674"/>
      <c r="D19" s="674"/>
      <c r="E19" s="674"/>
      <c r="F19" s="674"/>
      <c r="G19" s="674"/>
      <c r="H19" s="673">
        <f t="shared" si="0"/>
        <v>0</v>
      </c>
      <c r="I19" s="867"/>
    </row>
    <row r="20" spans="1:11" x14ac:dyDescent="0.25">
      <c r="A20" s="676">
        <v>13</v>
      </c>
      <c r="B20" s="677" t="s">
        <v>420</v>
      </c>
      <c r="C20" s="674"/>
      <c r="D20" s="674"/>
      <c r="E20" s="674"/>
      <c r="F20" s="674"/>
      <c r="G20" s="674"/>
      <c r="H20" s="673">
        <f t="shared" si="0"/>
        <v>0</v>
      </c>
      <c r="I20" s="867"/>
    </row>
    <row r="21" spans="1:11" x14ac:dyDescent="0.25">
      <c r="A21" s="670">
        <v>14</v>
      </c>
      <c r="B21" s="671" t="s">
        <v>421</v>
      </c>
      <c r="C21" s="680">
        <f>'2. SOFP'!E8</f>
        <v>2443576.5099999942</v>
      </c>
      <c r="D21" s="680">
        <v>10085431.26271471</v>
      </c>
      <c r="E21" s="674"/>
      <c r="F21" s="674"/>
      <c r="G21" s="673">
        <v>20643829</v>
      </c>
      <c r="H21" s="673">
        <f t="shared" si="0"/>
        <v>33172836.772714704</v>
      </c>
      <c r="I21" s="862"/>
      <c r="K21" s="863"/>
    </row>
    <row r="22" spans="1:11" x14ac:dyDescent="0.25">
      <c r="A22" s="681">
        <v>15</v>
      </c>
      <c r="B22" s="682" t="s">
        <v>96</v>
      </c>
      <c r="C22" s="673">
        <f t="shared" ref="C22:H22" si="1">SUM(C18:C21)+SUM(C8:C16)</f>
        <v>11906169.661618866</v>
      </c>
      <c r="D22" s="673">
        <f t="shared" si="1"/>
        <v>67542682.168940336</v>
      </c>
      <c r="E22" s="673">
        <f t="shared" si="1"/>
        <v>45299558.014091313</v>
      </c>
      <c r="F22" s="673">
        <f t="shared" si="1"/>
        <v>20539337.994138639</v>
      </c>
      <c r="G22" s="673">
        <f t="shared" si="1"/>
        <v>20661027.085489675</v>
      </c>
      <c r="H22" s="673">
        <f t="shared" si="1"/>
        <v>165948774.92427883</v>
      </c>
      <c r="I22" s="862"/>
    </row>
  </sheetData>
  <mergeCells count="2">
    <mergeCell ref="A5:B7"/>
    <mergeCell ref="C5:H6"/>
  </mergeCells>
  <conditionalFormatting sqref="A5">
    <cfRule type="duplicateValues" dxfId="18" priority="1"/>
    <cfRule type="duplicateValues" dxfId="17" priority="2"/>
    <cfRule type="duplicateValues" dxfId="16" priority="3"/>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C3FEB-F00D-4AE9-9BE1-8F706F7C044F}">
  <dimension ref="A1:H38"/>
  <sheetViews>
    <sheetView showGridLines="0" zoomScaleNormal="100" workbookViewId="0">
      <selection activeCell="C7" sqref="C7:H23"/>
    </sheetView>
  </sheetViews>
  <sheetFormatPr defaultColWidth="9.140625" defaultRowHeight="12.75" x14ac:dyDescent="0.25"/>
  <cols>
    <col min="1" max="1" width="11.85546875" style="709" bestFit="1" customWidth="1"/>
    <col min="2" max="2" width="86.85546875" style="654" customWidth="1"/>
    <col min="3" max="4" width="29.85546875" style="654" customWidth="1"/>
    <col min="5" max="5" width="22.140625" style="654" customWidth="1"/>
    <col min="6" max="6" width="18.42578125" style="654" customWidth="1"/>
    <col min="7" max="7" width="20" style="654" customWidth="1"/>
    <col min="8" max="8" width="25" style="654" customWidth="1"/>
    <col min="9" max="16384" width="9.140625" style="654"/>
  </cols>
  <sheetData>
    <row r="1" spans="1:8" ht="13.5" x14ac:dyDescent="0.25">
      <c r="A1" s="653" t="s">
        <v>41</v>
      </c>
      <c r="B1" s="24" t="str">
        <f>Info!C2</f>
        <v>სს სილქ ბანკი</v>
      </c>
      <c r="C1" s="684"/>
      <c r="D1" s="684"/>
      <c r="E1" s="684"/>
      <c r="F1" s="684"/>
      <c r="G1" s="684"/>
      <c r="H1" s="684"/>
    </row>
    <row r="2" spans="1:8" x14ac:dyDescent="0.25">
      <c r="A2" s="653" t="s">
        <v>42</v>
      </c>
      <c r="B2" s="655">
        <f>'1. key ratios'!B2</f>
        <v>45291</v>
      </c>
      <c r="C2" s="684"/>
      <c r="D2" s="684"/>
      <c r="E2" s="684"/>
      <c r="F2" s="684"/>
      <c r="G2" s="684"/>
      <c r="H2" s="684"/>
    </row>
    <row r="3" spans="1:8" x14ac:dyDescent="0.25">
      <c r="A3" s="656" t="s">
        <v>574</v>
      </c>
      <c r="B3" s="684"/>
      <c r="C3" s="684"/>
      <c r="D3" s="684"/>
      <c r="E3" s="684"/>
      <c r="F3" s="684"/>
      <c r="G3" s="684"/>
      <c r="H3" s="684"/>
    </row>
    <row r="4" spans="1:8" ht="40.5" customHeight="1" x14ac:dyDescent="0.25">
      <c r="A4" s="685"/>
      <c r="B4" s="684"/>
      <c r="C4" s="686" t="s">
        <v>575</v>
      </c>
      <c r="D4" s="686" t="s">
        <v>576</v>
      </c>
      <c r="E4" s="686" t="s">
        <v>577</v>
      </c>
      <c r="F4" s="686" t="s">
        <v>578</v>
      </c>
      <c r="G4" s="686" t="s">
        <v>579</v>
      </c>
      <c r="H4" s="686" t="s">
        <v>580</v>
      </c>
    </row>
    <row r="5" spans="1:8" ht="33.950000000000003" customHeight="1" x14ac:dyDescent="0.25">
      <c r="A5" s="657" t="s">
        <v>581</v>
      </c>
      <c r="B5" s="658"/>
      <c r="C5" s="687" t="s">
        <v>582</v>
      </c>
      <c r="D5" s="687"/>
      <c r="E5" s="687" t="s">
        <v>583</v>
      </c>
      <c r="F5" s="688" t="s">
        <v>584</v>
      </c>
      <c r="G5" s="688" t="s">
        <v>585</v>
      </c>
      <c r="H5" s="689" t="s">
        <v>586</v>
      </c>
    </row>
    <row r="6" spans="1:8" ht="25.5" x14ac:dyDescent="0.25">
      <c r="A6" s="667"/>
      <c r="B6" s="668"/>
      <c r="C6" s="690" t="s">
        <v>587</v>
      </c>
      <c r="D6" s="690" t="s">
        <v>588</v>
      </c>
      <c r="E6" s="687"/>
      <c r="F6" s="691"/>
      <c r="G6" s="691"/>
      <c r="H6" s="689" t="s">
        <v>589</v>
      </c>
    </row>
    <row r="7" spans="1:8" x14ac:dyDescent="0.25">
      <c r="A7" s="692">
        <v>1</v>
      </c>
      <c r="B7" s="671" t="s">
        <v>408</v>
      </c>
      <c r="C7" s="693"/>
      <c r="D7" s="694">
        <v>28131040.389999945</v>
      </c>
      <c r="E7" s="694">
        <v>77513.461439088016</v>
      </c>
      <c r="F7" s="695"/>
      <c r="G7" s="695"/>
      <c r="H7" s="696">
        <f t="shared" ref="H7:H20" si="0">C7+D7-E7-F7</f>
        <v>28053526.928560857</v>
      </c>
    </row>
    <row r="8" spans="1:8" ht="24" x14ac:dyDescent="0.25">
      <c r="A8" s="692">
        <v>2</v>
      </c>
      <c r="B8" s="671" t="s">
        <v>409</v>
      </c>
      <c r="C8" s="693"/>
      <c r="D8" s="693">
        <v>0</v>
      </c>
      <c r="E8" s="695"/>
      <c r="F8" s="695"/>
      <c r="G8" s="695"/>
      <c r="H8" s="696">
        <f t="shared" si="0"/>
        <v>0</v>
      </c>
    </row>
    <row r="9" spans="1:8" x14ac:dyDescent="0.25">
      <c r="A9" s="692">
        <v>3</v>
      </c>
      <c r="B9" s="671" t="s">
        <v>410</v>
      </c>
      <c r="C9" s="693"/>
      <c r="D9" s="693">
        <v>0</v>
      </c>
      <c r="E9" s="695"/>
      <c r="F9" s="695"/>
      <c r="G9" s="695"/>
      <c r="H9" s="696">
        <f t="shared" si="0"/>
        <v>0</v>
      </c>
    </row>
    <row r="10" spans="1:8" x14ac:dyDescent="0.25">
      <c r="A10" s="692">
        <v>4</v>
      </c>
      <c r="B10" s="671" t="s">
        <v>411</v>
      </c>
      <c r="C10" s="693"/>
      <c r="D10" s="693">
        <v>0</v>
      </c>
      <c r="E10" s="695"/>
      <c r="F10" s="695"/>
      <c r="G10" s="695"/>
      <c r="H10" s="696">
        <f t="shared" si="0"/>
        <v>0</v>
      </c>
    </row>
    <row r="11" spans="1:8" x14ac:dyDescent="0.25">
      <c r="A11" s="692">
        <v>5</v>
      </c>
      <c r="B11" s="671" t="s">
        <v>412</v>
      </c>
      <c r="C11" s="693"/>
      <c r="D11" s="693">
        <v>0</v>
      </c>
      <c r="E11" s="695"/>
      <c r="F11" s="695"/>
      <c r="G11" s="695"/>
      <c r="H11" s="696">
        <f t="shared" si="0"/>
        <v>0</v>
      </c>
    </row>
    <row r="12" spans="1:8" x14ac:dyDescent="0.25">
      <c r="A12" s="692">
        <v>6</v>
      </c>
      <c r="B12" s="671" t="s">
        <v>413</v>
      </c>
      <c r="C12" s="697"/>
      <c r="D12" s="697">
        <v>48636572.971618928</v>
      </c>
      <c r="E12" s="698"/>
      <c r="F12" s="695"/>
      <c r="G12" s="695"/>
      <c r="H12" s="696">
        <f t="shared" si="0"/>
        <v>48636572.971618928</v>
      </c>
    </row>
    <row r="13" spans="1:8" x14ac:dyDescent="0.25">
      <c r="A13" s="692">
        <v>7</v>
      </c>
      <c r="B13" s="671" t="s">
        <v>414</v>
      </c>
      <c r="C13" s="697">
        <v>909787.43978102203</v>
      </c>
      <c r="D13" s="700">
        <v>41830555.875975177</v>
      </c>
      <c r="E13" s="871">
        <v>1184774.8532696778</v>
      </c>
      <c r="F13" s="872"/>
      <c r="G13" s="872"/>
      <c r="H13" s="696">
        <f t="shared" si="0"/>
        <v>41555568.46248652</v>
      </c>
    </row>
    <row r="14" spans="1:8" x14ac:dyDescent="0.25">
      <c r="A14" s="692">
        <v>8</v>
      </c>
      <c r="B14" s="677" t="s">
        <v>415</v>
      </c>
      <c r="C14" s="697">
        <v>329929.56230186275</v>
      </c>
      <c r="D14" s="700">
        <v>14725603.142037813</v>
      </c>
      <c r="E14" s="871">
        <v>525262.9154418757</v>
      </c>
      <c r="F14" s="872"/>
      <c r="G14" s="873">
        <f>'19. Assets by Risk Sectors'!G34</f>
        <v>33574.724999999999</v>
      </c>
      <c r="H14" s="696">
        <f t="shared" si="0"/>
        <v>14530269.788897799</v>
      </c>
    </row>
    <row r="15" spans="1:8" x14ac:dyDescent="0.25">
      <c r="A15" s="692">
        <v>9</v>
      </c>
      <c r="B15" s="671" t="s">
        <v>416</v>
      </c>
      <c r="C15" s="697"/>
      <c r="D15" s="700">
        <v>0</v>
      </c>
      <c r="E15" s="874"/>
      <c r="F15" s="872"/>
      <c r="G15" s="872"/>
      <c r="H15" s="696">
        <f t="shared" si="0"/>
        <v>0</v>
      </c>
    </row>
    <row r="16" spans="1:8" x14ac:dyDescent="0.25">
      <c r="A16" s="692">
        <v>10</v>
      </c>
      <c r="B16" s="679" t="s">
        <v>417</v>
      </c>
      <c r="C16" s="697">
        <v>1053715.4320828847</v>
      </c>
      <c r="D16" s="700">
        <v>0</v>
      </c>
      <c r="E16" s="700">
        <v>618999.34112358745</v>
      </c>
      <c r="F16" s="872"/>
      <c r="G16" s="872"/>
      <c r="H16" s="696">
        <f t="shared" si="0"/>
        <v>434716.09095929726</v>
      </c>
    </row>
    <row r="17" spans="1:8" x14ac:dyDescent="0.25">
      <c r="A17" s="692">
        <v>11</v>
      </c>
      <c r="B17" s="671" t="s">
        <v>418</v>
      </c>
      <c r="C17" s="697">
        <v>0</v>
      </c>
      <c r="D17" s="700">
        <v>0</v>
      </c>
      <c r="E17" s="700">
        <v>0</v>
      </c>
      <c r="F17" s="872"/>
      <c r="G17" s="872"/>
      <c r="H17" s="696">
        <f t="shared" si="0"/>
        <v>0</v>
      </c>
    </row>
    <row r="18" spans="1:8" x14ac:dyDescent="0.25">
      <c r="A18" s="692">
        <v>12</v>
      </c>
      <c r="B18" s="671" t="s">
        <v>419</v>
      </c>
      <c r="C18" s="697"/>
      <c r="D18" s="700">
        <v>0</v>
      </c>
      <c r="E18" s="874"/>
      <c r="F18" s="872"/>
      <c r="G18" s="872"/>
      <c r="H18" s="696">
        <f t="shared" si="0"/>
        <v>0</v>
      </c>
    </row>
    <row r="19" spans="1:8" x14ac:dyDescent="0.25">
      <c r="A19" s="699">
        <v>13</v>
      </c>
      <c r="B19" s="677" t="s">
        <v>420</v>
      </c>
      <c r="C19" s="697"/>
      <c r="D19" s="700">
        <v>0</v>
      </c>
      <c r="E19" s="874"/>
      <c r="F19" s="872"/>
      <c r="G19" s="872"/>
      <c r="H19" s="696">
        <f t="shared" si="0"/>
        <v>0</v>
      </c>
    </row>
    <row r="20" spans="1:8" x14ac:dyDescent="0.25">
      <c r="A20" s="692">
        <v>14</v>
      </c>
      <c r="B20" s="671" t="s">
        <v>421</v>
      </c>
      <c r="C20" s="697">
        <v>0</v>
      </c>
      <c r="D20" s="700">
        <v>33172836.772714704</v>
      </c>
      <c r="E20" s="871">
        <f>C20</f>
        <v>0</v>
      </c>
      <c r="F20" s="872"/>
      <c r="G20" s="872"/>
      <c r="H20" s="696">
        <f t="shared" si="0"/>
        <v>33172836.772714704</v>
      </c>
    </row>
    <row r="21" spans="1:8" s="704" customFormat="1" x14ac:dyDescent="0.25">
      <c r="A21" s="701">
        <v>15</v>
      </c>
      <c r="B21" s="702" t="s">
        <v>96</v>
      </c>
      <c r="C21" s="703">
        <f t="shared" ref="C21:H21" si="1">SUM(C7:C15)+SUM(C17:C20)</f>
        <v>1239717.0020828848</v>
      </c>
      <c r="D21" s="875">
        <f t="shared" si="1"/>
        <v>166496609.15234655</v>
      </c>
      <c r="E21" s="876">
        <f t="shared" si="1"/>
        <v>1787551.2301506414</v>
      </c>
      <c r="F21" s="877">
        <f t="shared" si="1"/>
        <v>0</v>
      </c>
      <c r="G21" s="878">
        <f t="shared" si="1"/>
        <v>33574.724999999999</v>
      </c>
      <c r="H21" s="696">
        <f t="shared" si="1"/>
        <v>165948774.9242788</v>
      </c>
    </row>
    <row r="22" spans="1:8" x14ac:dyDescent="0.25">
      <c r="A22" s="705">
        <v>16</v>
      </c>
      <c r="B22" s="706" t="s">
        <v>590</v>
      </c>
      <c r="C22" s="697">
        <f>C13+C14+C17</f>
        <v>1239717.0020828848</v>
      </c>
      <c r="D22" s="700">
        <f>D13+D14+D17-1013200</f>
        <v>55542959.018012986</v>
      </c>
      <c r="E22" s="700">
        <f>E13+E14+E17</f>
        <v>1710037.7687115534</v>
      </c>
      <c r="F22" s="700">
        <f>F13+F14+F17</f>
        <v>0</v>
      </c>
      <c r="G22" s="707">
        <f>G13+G14+G17</f>
        <v>33574.724999999999</v>
      </c>
      <c r="H22" s="696">
        <f>C22+D22-E22-F22</f>
        <v>55072638.251384318</v>
      </c>
    </row>
    <row r="23" spans="1:8" x14ac:dyDescent="0.25">
      <c r="A23" s="705">
        <v>17</v>
      </c>
      <c r="B23" s="708" t="s">
        <v>591</v>
      </c>
      <c r="C23" s="697"/>
      <c r="D23" s="700">
        <v>27291284.421424001</v>
      </c>
      <c r="E23" s="700">
        <v>77513.461439088016</v>
      </c>
      <c r="F23" s="872"/>
      <c r="G23" s="872"/>
      <c r="H23" s="696">
        <f>C23+D23-E23-F23</f>
        <v>27213770.959984913</v>
      </c>
    </row>
    <row r="24" spans="1:8" x14ac:dyDescent="0.25">
      <c r="C24" s="861"/>
      <c r="D24" s="863"/>
      <c r="E24" s="861"/>
      <c r="F24" s="861"/>
      <c r="G24" s="861"/>
      <c r="H24" s="868"/>
    </row>
    <row r="25" spans="1:8" x14ac:dyDescent="0.25">
      <c r="C25" s="865"/>
      <c r="D25" s="865"/>
      <c r="E25" s="865"/>
      <c r="F25" s="868"/>
      <c r="G25" s="868"/>
      <c r="H25" s="861"/>
    </row>
    <row r="26" spans="1:8" ht="42.6" customHeight="1" x14ac:dyDescent="0.25">
      <c r="B26" s="683" t="s">
        <v>573</v>
      </c>
      <c r="C26" s="865"/>
      <c r="D26" s="863"/>
      <c r="E26" s="865"/>
      <c r="F26" s="861"/>
      <c r="G26" s="861"/>
      <c r="H26" s="861"/>
    </row>
    <row r="27" spans="1:8" x14ac:dyDescent="0.25">
      <c r="C27" s="865"/>
      <c r="D27" s="861"/>
      <c r="E27" s="861"/>
      <c r="F27" s="861"/>
      <c r="G27" s="861"/>
      <c r="H27" s="861"/>
    </row>
    <row r="28" spans="1:8" x14ac:dyDescent="0.25">
      <c r="C28" s="865"/>
      <c r="D28" s="861"/>
      <c r="E28" s="861"/>
      <c r="F28" s="861"/>
      <c r="G28" s="861"/>
      <c r="H28" s="861"/>
    </row>
    <row r="29" spans="1:8" x14ac:dyDescent="0.25">
      <c r="C29" s="865"/>
      <c r="D29" s="861"/>
      <c r="E29" s="861"/>
      <c r="F29" s="861"/>
      <c r="G29" s="861"/>
      <c r="H29" s="861"/>
    </row>
    <row r="30" spans="1:8" x14ac:dyDescent="0.25">
      <c r="C30" s="865"/>
      <c r="D30" s="861"/>
      <c r="E30" s="861"/>
      <c r="F30" s="861"/>
      <c r="G30" s="861"/>
      <c r="H30" s="861"/>
    </row>
    <row r="31" spans="1:8" x14ac:dyDescent="0.25">
      <c r="C31" s="870"/>
      <c r="D31" s="861"/>
      <c r="E31" s="861"/>
      <c r="F31" s="863"/>
      <c r="G31" s="861"/>
      <c r="H31" s="861"/>
    </row>
    <row r="32" spans="1:8" x14ac:dyDescent="0.25">
      <c r="C32" s="870"/>
      <c r="D32" s="861"/>
      <c r="E32" s="861"/>
      <c r="F32" s="861"/>
      <c r="G32" s="861"/>
      <c r="H32" s="861"/>
    </row>
    <row r="33" spans="3:8" x14ac:dyDescent="0.25">
      <c r="C33" s="870"/>
      <c r="D33" s="861"/>
      <c r="E33" s="861"/>
      <c r="F33" s="861"/>
      <c r="G33" s="861"/>
      <c r="H33" s="861"/>
    </row>
    <row r="34" spans="3:8" x14ac:dyDescent="0.25">
      <c r="C34" s="869"/>
      <c r="D34" s="861"/>
      <c r="E34" s="861"/>
      <c r="F34" s="861"/>
      <c r="G34" s="861"/>
      <c r="H34" s="861"/>
    </row>
    <row r="35" spans="3:8" x14ac:dyDescent="0.25">
      <c r="C35" s="870"/>
      <c r="D35" s="861"/>
      <c r="E35" s="861"/>
      <c r="F35" s="861"/>
      <c r="G35" s="861"/>
      <c r="H35" s="861"/>
    </row>
    <row r="36" spans="3:8" x14ac:dyDescent="0.25">
      <c r="C36" s="870"/>
      <c r="D36" s="861"/>
      <c r="E36" s="861"/>
      <c r="F36" s="861"/>
      <c r="G36" s="861"/>
      <c r="H36" s="861"/>
    </row>
    <row r="37" spans="3:8" x14ac:dyDescent="0.25">
      <c r="C37" s="861"/>
      <c r="D37" s="861"/>
      <c r="E37" s="861"/>
      <c r="F37" s="861"/>
      <c r="G37" s="861"/>
      <c r="H37" s="861"/>
    </row>
    <row r="38" spans="3:8" x14ac:dyDescent="0.25">
      <c r="C38" s="861"/>
      <c r="D38" s="861"/>
      <c r="E38" s="861"/>
      <c r="F38" s="861"/>
      <c r="G38" s="861"/>
      <c r="H38" s="861"/>
    </row>
  </sheetData>
  <mergeCells count="5">
    <mergeCell ref="A5:B6"/>
    <mergeCell ref="C5:D5"/>
    <mergeCell ref="E5:E6"/>
    <mergeCell ref="F5:F6"/>
    <mergeCell ref="G5:G6"/>
  </mergeCells>
  <conditionalFormatting sqref="A5">
    <cfRule type="duplicateValues" dxfId="15" priority="1"/>
    <cfRule type="duplicateValues" dxfId="14" priority="2"/>
    <cfRule type="duplicateValues" dxfId="13" priority="3"/>
  </conditionalFormatting>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741F1-CEF3-47FB-949E-192E699090C9}">
  <dimension ref="A1:I34"/>
  <sheetViews>
    <sheetView showGridLines="0" topLeftCell="C5" zoomScale="115" zoomScaleNormal="115" workbookViewId="0">
      <selection activeCell="C7" sqref="C7:H34"/>
    </sheetView>
  </sheetViews>
  <sheetFormatPr defaultColWidth="9.140625" defaultRowHeight="12.75" x14ac:dyDescent="0.25"/>
  <cols>
    <col min="1" max="1" width="11" style="654" bestFit="1" customWidth="1"/>
    <col min="2" max="2" width="93.42578125" style="654" customWidth="1"/>
    <col min="3" max="5" width="22" style="654" customWidth="1"/>
    <col min="6" max="6" width="21.28515625" style="654" customWidth="1"/>
    <col min="7" max="7" width="26.85546875" style="654" customWidth="1"/>
    <col min="8" max="8" width="21.85546875" style="654" customWidth="1"/>
    <col min="9" max="16384" width="9.140625" style="654"/>
  </cols>
  <sheetData>
    <row r="1" spans="1:9" ht="13.5" x14ac:dyDescent="0.25">
      <c r="A1" s="653" t="s">
        <v>41</v>
      </c>
      <c r="B1" s="24" t="str">
        <f>Info!C2</f>
        <v>სს სილქ ბანკი</v>
      </c>
      <c r="C1" s="684"/>
      <c r="D1" s="684"/>
      <c r="E1" s="684"/>
      <c r="F1" s="684"/>
      <c r="G1" s="684"/>
      <c r="H1" s="684"/>
    </row>
    <row r="2" spans="1:9" x14ac:dyDescent="0.25">
      <c r="A2" s="653" t="s">
        <v>42</v>
      </c>
      <c r="B2" s="655">
        <f>'1. key ratios'!B2</f>
        <v>45291</v>
      </c>
      <c r="C2" s="684"/>
      <c r="D2" s="684"/>
      <c r="E2" s="684"/>
      <c r="F2" s="684"/>
      <c r="G2" s="684"/>
      <c r="H2" s="684"/>
    </row>
    <row r="3" spans="1:9" x14ac:dyDescent="0.25">
      <c r="A3" s="656" t="s">
        <v>592</v>
      </c>
      <c r="B3" s="684"/>
      <c r="C3" s="684"/>
      <c r="D3" s="684"/>
      <c r="E3" s="684"/>
      <c r="F3" s="684"/>
      <c r="G3" s="684"/>
      <c r="H3" s="684"/>
    </row>
    <row r="4" spans="1:9" ht="40.5" customHeight="1" x14ac:dyDescent="0.25">
      <c r="A4" s="684"/>
      <c r="B4" s="684"/>
      <c r="C4" s="686" t="s">
        <v>575</v>
      </c>
      <c r="D4" s="686" t="s">
        <v>576</v>
      </c>
      <c r="E4" s="686" t="s">
        <v>577</v>
      </c>
      <c r="F4" s="686" t="s">
        <v>578</v>
      </c>
      <c r="G4" s="686" t="s">
        <v>579</v>
      </c>
      <c r="H4" s="686" t="s">
        <v>580</v>
      </c>
    </row>
    <row r="5" spans="1:9" ht="41.45" customHeight="1" x14ac:dyDescent="0.25">
      <c r="A5" s="657" t="s">
        <v>593</v>
      </c>
      <c r="B5" s="658"/>
      <c r="C5" s="710" t="s">
        <v>582</v>
      </c>
      <c r="D5" s="711"/>
      <c r="E5" s="688" t="s">
        <v>594</v>
      </c>
      <c r="F5" s="688" t="s">
        <v>584</v>
      </c>
      <c r="G5" s="688" t="s">
        <v>585</v>
      </c>
      <c r="H5" s="689" t="s">
        <v>586</v>
      </c>
    </row>
    <row r="6" spans="1:9" ht="38.25" x14ac:dyDescent="0.25">
      <c r="A6" s="667"/>
      <c r="B6" s="668"/>
      <c r="C6" s="690" t="s">
        <v>587</v>
      </c>
      <c r="D6" s="690" t="s">
        <v>588</v>
      </c>
      <c r="E6" s="691"/>
      <c r="F6" s="691"/>
      <c r="G6" s="691"/>
      <c r="H6" s="689" t="s">
        <v>589</v>
      </c>
      <c r="I6" s="712"/>
    </row>
    <row r="7" spans="1:9" x14ac:dyDescent="0.25">
      <c r="A7" s="695">
        <v>1</v>
      </c>
      <c r="B7" s="713" t="s">
        <v>595</v>
      </c>
      <c r="C7" s="693">
        <v>13246.527153284671</v>
      </c>
      <c r="D7" s="693">
        <v>29521621.531449448</v>
      </c>
      <c r="E7" s="693">
        <v>116412.67580717815</v>
      </c>
      <c r="F7" s="693"/>
      <c r="G7" s="694">
        <v>1224.2874999999999</v>
      </c>
      <c r="H7" s="696">
        <f t="shared" ref="H7:H34" si="0">C7+D7-E7-F7</f>
        <v>29418455.382795554</v>
      </c>
    </row>
    <row r="8" spans="1:9" x14ac:dyDescent="0.25">
      <c r="A8" s="695">
        <v>2</v>
      </c>
      <c r="B8" s="713" t="s">
        <v>596</v>
      </c>
      <c r="C8" s="693">
        <v>0</v>
      </c>
      <c r="D8" s="693">
        <v>52601589.821021788</v>
      </c>
      <c r="E8" s="693">
        <v>38834.10866373992</v>
      </c>
      <c r="F8" s="693"/>
      <c r="G8" s="694">
        <v>4265.9875000000002</v>
      </c>
      <c r="H8" s="696">
        <f t="shared" si="0"/>
        <v>52562755.71235805</v>
      </c>
    </row>
    <row r="9" spans="1:9" x14ac:dyDescent="0.25">
      <c r="A9" s="695">
        <v>3</v>
      </c>
      <c r="B9" s="713" t="s">
        <v>597</v>
      </c>
      <c r="C9" s="693">
        <v>0</v>
      </c>
      <c r="D9" s="693">
        <v>0</v>
      </c>
      <c r="E9" s="693">
        <v>0</v>
      </c>
      <c r="F9" s="693"/>
      <c r="G9" s="694">
        <v>0</v>
      </c>
      <c r="H9" s="696">
        <f t="shared" si="0"/>
        <v>0</v>
      </c>
    </row>
    <row r="10" spans="1:9" x14ac:dyDescent="0.25">
      <c r="A10" s="695">
        <v>4</v>
      </c>
      <c r="B10" s="713" t="s">
        <v>598</v>
      </c>
      <c r="C10" s="693">
        <v>0</v>
      </c>
      <c r="D10" s="693">
        <v>7845749.2230041483</v>
      </c>
      <c r="E10" s="693">
        <v>97959.863683303003</v>
      </c>
      <c r="F10" s="693"/>
      <c r="G10" s="694">
        <v>0</v>
      </c>
      <c r="H10" s="696">
        <f t="shared" si="0"/>
        <v>7747789.3593208455</v>
      </c>
    </row>
    <row r="11" spans="1:9" x14ac:dyDescent="0.25">
      <c r="A11" s="695">
        <v>5</v>
      </c>
      <c r="B11" s="713" t="s">
        <v>600</v>
      </c>
      <c r="C11" s="693">
        <v>0</v>
      </c>
      <c r="D11" s="693">
        <v>9118426.0314003136</v>
      </c>
      <c r="E11" s="693">
        <v>135679.77900743156</v>
      </c>
      <c r="F11" s="693"/>
      <c r="G11" s="694">
        <v>0</v>
      </c>
      <c r="H11" s="696">
        <f t="shared" si="0"/>
        <v>8982746.2523928825</v>
      </c>
    </row>
    <row r="12" spans="1:9" x14ac:dyDescent="0.25">
      <c r="A12" s="695">
        <v>6</v>
      </c>
      <c r="B12" s="713" t="s">
        <v>601</v>
      </c>
      <c r="C12" s="693">
        <v>45059.83</v>
      </c>
      <c r="D12" s="693">
        <v>541958.74784568069</v>
      </c>
      <c r="E12" s="693">
        <v>74048.084651225887</v>
      </c>
      <c r="F12" s="693"/>
      <c r="G12" s="694">
        <v>0</v>
      </c>
      <c r="H12" s="696">
        <f t="shared" si="0"/>
        <v>512970.49319445476</v>
      </c>
    </row>
    <row r="13" spans="1:9" x14ac:dyDescent="0.25">
      <c r="A13" s="695">
        <v>7</v>
      </c>
      <c r="B13" s="713" t="s">
        <v>603</v>
      </c>
      <c r="C13" s="693">
        <v>276.11</v>
      </c>
      <c r="D13" s="693">
        <v>1293579.9231801461</v>
      </c>
      <c r="E13" s="693">
        <v>13008.945235706182</v>
      </c>
      <c r="F13" s="693"/>
      <c r="G13" s="694">
        <v>0</v>
      </c>
      <c r="H13" s="696">
        <f t="shared" si="0"/>
        <v>1280847.0879444401</v>
      </c>
    </row>
    <row r="14" spans="1:9" x14ac:dyDescent="0.25">
      <c r="A14" s="695">
        <v>8</v>
      </c>
      <c r="B14" s="713" t="s">
        <v>604</v>
      </c>
      <c r="C14" s="693">
        <v>67064.06</v>
      </c>
      <c r="D14" s="693">
        <v>238469.71466935339</v>
      </c>
      <c r="E14" s="693">
        <v>47082.410780256541</v>
      </c>
      <c r="F14" s="693"/>
      <c r="G14" s="694">
        <v>0</v>
      </c>
      <c r="H14" s="696">
        <f t="shared" si="0"/>
        <v>258451.36388909683</v>
      </c>
    </row>
    <row r="15" spans="1:9" x14ac:dyDescent="0.25">
      <c r="A15" s="695">
        <v>9</v>
      </c>
      <c r="B15" s="713" t="s">
        <v>605</v>
      </c>
      <c r="C15" s="693">
        <v>10372.909781021897</v>
      </c>
      <c r="D15" s="693">
        <v>998.18000000000006</v>
      </c>
      <c r="E15" s="693">
        <v>10390.488527248532</v>
      </c>
      <c r="F15" s="693"/>
      <c r="G15" s="694">
        <v>78.3</v>
      </c>
      <c r="H15" s="696">
        <f t="shared" si="0"/>
        <v>980.6012537733659</v>
      </c>
    </row>
    <row r="16" spans="1:9" x14ac:dyDescent="0.25">
      <c r="A16" s="695">
        <v>10</v>
      </c>
      <c r="B16" s="713" t="s">
        <v>606</v>
      </c>
      <c r="C16" s="693">
        <v>0</v>
      </c>
      <c r="D16" s="693">
        <v>43392.391315805289</v>
      </c>
      <c r="E16" s="693">
        <v>1036.5397180994712</v>
      </c>
      <c r="F16" s="693"/>
      <c r="G16" s="694">
        <v>0</v>
      </c>
      <c r="H16" s="696">
        <f t="shared" si="0"/>
        <v>42355.85159770582</v>
      </c>
    </row>
    <row r="17" spans="1:8" x14ac:dyDescent="0.25">
      <c r="A17" s="695">
        <v>11</v>
      </c>
      <c r="B17" s="713" t="s">
        <v>607</v>
      </c>
      <c r="C17" s="693">
        <v>0</v>
      </c>
      <c r="D17" s="693">
        <v>15681.847372262775</v>
      </c>
      <c r="E17" s="693">
        <v>412.07271914101733</v>
      </c>
      <c r="F17" s="693"/>
      <c r="G17" s="694">
        <v>0</v>
      </c>
      <c r="H17" s="696">
        <f t="shared" si="0"/>
        <v>15269.774653121758</v>
      </c>
    </row>
    <row r="18" spans="1:8" x14ac:dyDescent="0.25">
      <c r="A18" s="695">
        <v>12</v>
      </c>
      <c r="B18" s="713" t="s">
        <v>608</v>
      </c>
      <c r="C18" s="693">
        <v>0</v>
      </c>
      <c r="D18" s="693">
        <v>2890024.3900979864</v>
      </c>
      <c r="E18" s="693">
        <v>55842.602998794602</v>
      </c>
      <c r="F18" s="693"/>
      <c r="G18" s="694">
        <v>411.21250000000003</v>
      </c>
      <c r="H18" s="696">
        <f t="shared" si="0"/>
        <v>2834181.7870991919</v>
      </c>
    </row>
    <row r="19" spans="1:8" x14ac:dyDescent="0.25">
      <c r="A19" s="695">
        <v>13</v>
      </c>
      <c r="B19" s="713" t="s">
        <v>609</v>
      </c>
      <c r="C19" s="693">
        <v>177.77</v>
      </c>
      <c r="D19" s="693">
        <v>128947.69846847723</v>
      </c>
      <c r="E19" s="693">
        <v>2774.4046719239932</v>
      </c>
      <c r="F19" s="693"/>
      <c r="G19" s="694">
        <v>0</v>
      </c>
      <c r="H19" s="696">
        <f t="shared" si="0"/>
        <v>126351.06379655324</v>
      </c>
    </row>
    <row r="20" spans="1:8" x14ac:dyDescent="0.25">
      <c r="A20" s="695">
        <v>14</v>
      </c>
      <c r="B20" s="713" t="s">
        <v>610</v>
      </c>
      <c r="C20" s="693">
        <v>0</v>
      </c>
      <c r="D20" s="693">
        <v>1368105.1087333225</v>
      </c>
      <c r="E20" s="693">
        <v>26480.391293888359</v>
      </c>
      <c r="F20" s="693"/>
      <c r="G20" s="694">
        <v>0</v>
      </c>
      <c r="H20" s="696">
        <f t="shared" si="0"/>
        <v>1341624.717439434</v>
      </c>
    </row>
    <row r="21" spans="1:8" x14ac:dyDescent="0.25">
      <c r="A21" s="695">
        <v>15</v>
      </c>
      <c r="B21" s="713" t="s">
        <v>611</v>
      </c>
      <c r="C21" s="693">
        <v>435.65</v>
      </c>
      <c r="D21" s="693">
        <v>236033.42810108219</v>
      </c>
      <c r="E21" s="693">
        <v>4650.4143242243363</v>
      </c>
      <c r="F21" s="693"/>
      <c r="G21" s="694">
        <v>0</v>
      </c>
      <c r="H21" s="696">
        <f t="shared" si="0"/>
        <v>231818.66377685784</v>
      </c>
    </row>
    <row r="22" spans="1:8" x14ac:dyDescent="0.25">
      <c r="A22" s="695">
        <v>16</v>
      </c>
      <c r="B22" s="706" t="s">
        <v>612</v>
      </c>
      <c r="C22" s="693">
        <v>0</v>
      </c>
      <c r="D22" s="693">
        <v>76277.815347361189</v>
      </c>
      <c r="E22" s="693">
        <v>1337.1326577330258</v>
      </c>
      <c r="F22" s="693"/>
      <c r="G22" s="694">
        <v>0</v>
      </c>
      <c r="H22" s="696">
        <f t="shared" si="0"/>
        <v>74940.682689628156</v>
      </c>
    </row>
    <row r="23" spans="1:8" x14ac:dyDescent="0.25">
      <c r="A23" s="695">
        <v>17</v>
      </c>
      <c r="B23" s="713" t="s">
        <v>613</v>
      </c>
      <c r="C23" s="693">
        <v>6159.0099999999993</v>
      </c>
      <c r="D23" s="693">
        <v>80028.739791725369</v>
      </c>
      <c r="E23" s="693">
        <v>4679.472875432376</v>
      </c>
      <c r="F23" s="693"/>
      <c r="G23" s="694">
        <v>0</v>
      </c>
      <c r="H23" s="696">
        <f t="shared" si="0"/>
        <v>81508.276916292991</v>
      </c>
    </row>
    <row r="24" spans="1:8" x14ac:dyDescent="0.25">
      <c r="A24" s="695">
        <v>18</v>
      </c>
      <c r="B24" s="713" t="s">
        <v>614</v>
      </c>
      <c r="C24" s="693">
        <v>0</v>
      </c>
      <c r="D24" s="693">
        <v>10101913.616997261</v>
      </c>
      <c r="E24" s="693">
        <v>187678.78722548147</v>
      </c>
      <c r="F24" s="693"/>
      <c r="G24" s="694">
        <v>0</v>
      </c>
      <c r="H24" s="696">
        <f t="shared" si="0"/>
        <v>9914234.8297717795</v>
      </c>
    </row>
    <row r="25" spans="1:8" x14ac:dyDescent="0.25">
      <c r="A25" s="695">
        <v>19</v>
      </c>
      <c r="B25" s="713" t="s">
        <v>615</v>
      </c>
      <c r="C25" s="693">
        <v>114.84</v>
      </c>
      <c r="D25" s="693">
        <v>314734.90387250739</v>
      </c>
      <c r="E25" s="693">
        <v>6345.9228597896545</v>
      </c>
      <c r="F25" s="693"/>
      <c r="G25" s="694">
        <v>0</v>
      </c>
      <c r="H25" s="696">
        <f t="shared" si="0"/>
        <v>308503.82101271779</v>
      </c>
    </row>
    <row r="26" spans="1:8" x14ac:dyDescent="0.25">
      <c r="A26" s="695">
        <v>20</v>
      </c>
      <c r="B26" s="713" t="s">
        <v>616</v>
      </c>
      <c r="C26" s="693">
        <v>322.42</v>
      </c>
      <c r="D26" s="693">
        <v>152873.41938221868</v>
      </c>
      <c r="E26" s="693">
        <v>3281.296349861937</v>
      </c>
      <c r="F26" s="693"/>
      <c r="G26" s="694">
        <v>0</v>
      </c>
      <c r="H26" s="696">
        <f t="shared" si="0"/>
        <v>149914.54303235674</v>
      </c>
    </row>
    <row r="27" spans="1:8" x14ac:dyDescent="0.25">
      <c r="A27" s="695">
        <v>21</v>
      </c>
      <c r="B27" s="713" t="s">
        <v>617</v>
      </c>
      <c r="C27" s="693">
        <v>0</v>
      </c>
      <c r="D27" s="693">
        <v>179886.80551053616</v>
      </c>
      <c r="E27" s="693">
        <v>5279.348727369641</v>
      </c>
      <c r="F27" s="693"/>
      <c r="G27" s="694">
        <v>0</v>
      </c>
      <c r="H27" s="696">
        <f t="shared" si="0"/>
        <v>174607.4567831665</v>
      </c>
    </row>
    <row r="28" spans="1:8" x14ac:dyDescent="0.25">
      <c r="A28" s="695">
        <v>22</v>
      </c>
      <c r="B28" s="713" t="s">
        <v>618</v>
      </c>
      <c r="C28" s="693">
        <v>81625.896569343051</v>
      </c>
      <c r="D28" s="693">
        <v>3251799.6617690814</v>
      </c>
      <c r="E28" s="693">
        <v>95670.684825639226</v>
      </c>
      <c r="F28" s="693"/>
      <c r="G28" s="694">
        <v>0</v>
      </c>
      <c r="H28" s="696">
        <f t="shared" si="0"/>
        <v>3237754.873512785</v>
      </c>
    </row>
    <row r="29" spans="1:8" x14ac:dyDescent="0.25">
      <c r="A29" s="695">
        <v>23</v>
      </c>
      <c r="B29" s="713" t="s">
        <v>619</v>
      </c>
      <c r="C29" s="693">
        <v>103831.45857923497</v>
      </c>
      <c r="D29" s="693">
        <v>6250890.110518367</v>
      </c>
      <c r="E29" s="693">
        <v>223087.62797621515</v>
      </c>
      <c r="F29" s="693"/>
      <c r="G29" s="694">
        <v>27163.024999999998</v>
      </c>
      <c r="H29" s="696">
        <f t="shared" si="0"/>
        <v>6131633.9411213864</v>
      </c>
    </row>
    <row r="30" spans="1:8" x14ac:dyDescent="0.25">
      <c r="A30" s="695">
        <v>24</v>
      </c>
      <c r="B30" s="713" t="s">
        <v>620</v>
      </c>
      <c r="C30" s="693">
        <v>832740.66</v>
      </c>
      <c r="D30" s="693">
        <v>2473066.6731959702</v>
      </c>
      <c r="E30" s="693">
        <v>515411.15387834562</v>
      </c>
      <c r="F30" s="693"/>
      <c r="G30" s="694">
        <v>0</v>
      </c>
      <c r="H30" s="696">
        <f t="shared" si="0"/>
        <v>2790396.1793176248</v>
      </c>
    </row>
    <row r="31" spans="1:8" x14ac:dyDescent="0.25">
      <c r="A31" s="695">
        <v>25</v>
      </c>
      <c r="B31" s="713" t="s">
        <v>216</v>
      </c>
      <c r="C31" s="693">
        <v>78289.86</v>
      </c>
      <c r="D31" s="694">
        <v>4597722.596587033</v>
      </c>
      <c r="E31" s="693">
        <v>120167.02069261135</v>
      </c>
      <c r="F31" s="693"/>
      <c r="G31" s="694">
        <v>431.91249999999997</v>
      </c>
      <c r="H31" s="696">
        <f t="shared" si="0"/>
        <v>4555845.4358944222</v>
      </c>
    </row>
    <row r="32" spans="1:8" x14ac:dyDescent="0.25">
      <c r="A32" s="695">
        <v>26</v>
      </c>
      <c r="B32" s="713" t="s">
        <v>621</v>
      </c>
      <c r="C32" s="693">
        <v>0</v>
      </c>
      <c r="D32" s="693">
        <v>0</v>
      </c>
      <c r="E32" s="693">
        <v>0</v>
      </c>
      <c r="F32" s="693"/>
      <c r="G32" s="694"/>
      <c r="H32" s="696">
        <f t="shared" si="0"/>
        <v>0</v>
      </c>
    </row>
    <row r="33" spans="1:8" x14ac:dyDescent="0.25">
      <c r="A33" s="695">
        <v>27</v>
      </c>
      <c r="B33" s="695" t="s">
        <v>122</v>
      </c>
      <c r="C33" s="693">
        <f>'18. Assets by Exposure classes'!C20</f>
        <v>0</v>
      </c>
      <c r="D33" s="693">
        <f>'18. Assets by Exposure classes'!D20</f>
        <v>33172836.772714704</v>
      </c>
      <c r="E33" s="693">
        <f>'18. Assets by Exposure classes'!E20</f>
        <v>0</v>
      </c>
      <c r="F33" s="695"/>
      <c r="G33" s="694"/>
      <c r="H33" s="696">
        <f t="shared" si="0"/>
        <v>33172836.772714704</v>
      </c>
    </row>
    <row r="34" spans="1:8" x14ac:dyDescent="0.25">
      <c r="A34" s="695">
        <v>28</v>
      </c>
      <c r="B34" s="702" t="s">
        <v>96</v>
      </c>
      <c r="C34" s="714">
        <f>SUM(C7:C33)</f>
        <v>1239717.0020828848</v>
      </c>
      <c r="D34" s="714">
        <f>SUM(D7:D33)</f>
        <v>166496609.15234655</v>
      </c>
      <c r="E34" s="714">
        <f>SUM(E7:E33)</f>
        <v>1787551.2301506409</v>
      </c>
      <c r="F34" s="715">
        <f>SUM(F7:F33)</f>
        <v>0</v>
      </c>
      <c r="G34" s="887">
        <f>SUM(G7:G33)</f>
        <v>33574.724999999999</v>
      </c>
      <c r="H34" s="696">
        <f t="shared" si="0"/>
        <v>165948774.9242788</v>
      </c>
    </row>
  </sheetData>
  <mergeCells count="5">
    <mergeCell ref="A5:B6"/>
    <mergeCell ref="C5:D5"/>
    <mergeCell ref="E5:E6"/>
    <mergeCell ref="F5:F6"/>
    <mergeCell ref="G5:G6"/>
  </mergeCells>
  <conditionalFormatting sqref="A5">
    <cfRule type="duplicateValues" dxfId="12" priority="2"/>
    <cfRule type="duplicateValues" dxfId="11" priority="3"/>
    <cfRule type="duplicateValues" dxfId="10" priority="4"/>
  </conditionalFormatting>
  <conditionalFormatting sqref="B7:B31">
    <cfRule type="duplicateValues" dxfId="9" priority="5"/>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F14FD-D3DE-44D7-9774-321C7BB81FCF}">
  <dimension ref="A1:F28"/>
  <sheetViews>
    <sheetView showGridLines="0" topLeftCell="B1" zoomScale="115" zoomScaleNormal="115" workbookViewId="0">
      <selection activeCell="C6" sqref="C6:D15"/>
    </sheetView>
  </sheetViews>
  <sheetFormatPr defaultColWidth="9.140625" defaultRowHeight="12.75" x14ac:dyDescent="0.25"/>
  <cols>
    <col min="1" max="1" width="11.85546875" style="654" bestFit="1" customWidth="1"/>
    <col min="2" max="2" width="108" style="654" bestFit="1" customWidth="1"/>
    <col min="3" max="3" width="35.5703125" style="654" customWidth="1"/>
    <col min="4" max="4" width="38.42578125" style="654" customWidth="1"/>
    <col min="5" max="5" width="10.42578125" style="654" bestFit="1" customWidth="1"/>
    <col min="6" max="6" width="9.85546875" style="654" bestFit="1" customWidth="1"/>
    <col min="7" max="7" width="62.140625" style="654" customWidth="1"/>
    <col min="8" max="16384" width="9.140625" style="654"/>
  </cols>
  <sheetData>
    <row r="1" spans="1:6" ht="13.5" x14ac:dyDescent="0.25">
      <c r="A1" s="653" t="s">
        <v>41</v>
      </c>
      <c r="B1" s="24" t="str">
        <f>Info!C2</f>
        <v>სს სილქ ბანკი</v>
      </c>
    </row>
    <row r="2" spans="1:6" x14ac:dyDescent="0.25">
      <c r="A2" s="653" t="s">
        <v>42</v>
      </c>
      <c r="B2" s="655">
        <f>'1. key ratios'!B2</f>
        <v>45291</v>
      </c>
    </row>
    <row r="3" spans="1:6" x14ac:dyDescent="0.25">
      <c r="A3" s="656" t="s">
        <v>622</v>
      </c>
      <c r="C3" s="718"/>
    </row>
    <row r="4" spans="1:6" ht="40.5" customHeight="1" x14ac:dyDescent="0.25"/>
    <row r="5" spans="1:6" x14ac:dyDescent="0.25">
      <c r="A5" s="719" t="s">
        <v>623</v>
      </c>
      <c r="B5" s="719"/>
      <c r="C5" s="669" t="s">
        <v>624</v>
      </c>
      <c r="D5" s="669" t="s">
        <v>625</v>
      </c>
    </row>
    <row r="6" spans="1:6" x14ac:dyDescent="0.25">
      <c r="A6" s="720">
        <v>1</v>
      </c>
      <c r="B6" s="721" t="s">
        <v>626</v>
      </c>
      <c r="C6" s="722">
        <v>1201544.7277526106</v>
      </c>
      <c r="D6" s="722">
        <v>77427.73565733085</v>
      </c>
    </row>
    <row r="7" spans="1:6" x14ac:dyDescent="0.25">
      <c r="A7" s="723">
        <v>2</v>
      </c>
      <c r="B7" s="721" t="s">
        <v>627</v>
      </c>
      <c r="C7" s="672">
        <f>SUM(C8:C9)</f>
        <v>554422.82016726595</v>
      </c>
      <c r="D7" s="673">
        <f>D9+D8</f>
        <v>22448.198974521503</v>
      </c>
      <c r="E7" s="675"/>
      <c r="F7" s="675"/>
    </row>
    <row r="8" spans="1:6" x14ac:dyDescent="0.25">
      <c r="A8" s="724">
        <v>2.1</v>
      </c>
      <c r="B8" s="725" t="s">
        <v>628</v>
      </c>
      <c r="C8" s="672">
        <v>449169.48727849283</v>
      </c>
      <c r="D8" s="673">
        <v>22362.468576000003</v>
      </c>
      <c r="E8" s="675"/>
      <c r="F8" s="675"/>
    </row>
    <row r="9" spans="1:6" x14ac:dyDescent="0.25">
      <c r="A9" s="724">
        <v>2.2000000000000002</v>
      </c>
      <c r="B9" s="725" t="s">
        <v>629</v>
      </c>
      <c r="C9" s="672">
        <v>105253.33288877309</v>
      </c>
      <c r="D9" s="672">
        <v>85.7303985214985</v>
      </c>
      <c r="E9" s="675"/>
      <c r="F9" s="675"/>
    </row>
    <row r="10" spans="1:6" x14ac:dyDescent="0.25">
      <c r="A10" s="720">
        <v>3</v>
      </c>
      <c r="B10" s="721" t="s">
        <v>630</v>
      </c>
      <c r="C10" s="879">
        <f>SUM(C11:C13)</f>
        <v>48573.583839601881</v>
      </c>
      <c r="D10" s="722">
        <f>D11+D12+D13+D14</f>
        <v>0</v>
      </c>
      <c r="E10" s="675"/>
      <c r="F10" s="675"/>
    </row>
    <row r="11" spans="1:6" x14ac:dyDescent="0.25">
      <c r="A11" s="724">
        <v>3.1</v>
      </c>
      <c r="B11" s="725" t="s">
        <v>631</v>
      </c>
      <c r="C11" s="672">
        <f>'19. Assets by Risk Sectors'!G13+'19. Assets by Risk Sectors'!G18+'19. Assets by Risk Sectors'!G29</f>
        <v>27574.237499999999</v>
      </c>
      <c r="D11" s="673"/>
      <c r="E11" s="675"/>
      <c r="F11" s="675"/>
    </row>
    <row r="12" spans="1:6" x14ac:dyDescent="0.25">
      <c r="A12" s="724">
        <v>3.2</v>
      </c>
      <c r="B12" s="725" t="s">
        <v>632</v>
      </c>
      <c r="C12" s="672">
        <v>1621.6547184119299</v>
      </c>
      <c r="D12" s="673">
        <v>0</v>
      </c>
      <c r="E12" s="675"/>
      <c r="F12" s="675"/>
    </row>
    <row r="13" spans="1:6" x14ac:dyDescent="0.25">
      <c r="A13" s="724">
        <v>3.3</v>
      </c>
      <c r="B13" s="725" t="s">
        <v>633</v>
      </c>
      <c r="C13" s="672">
        <v>19377.691621189955</v>
      </c>
      <c r="D13" s="673"/>
      <c r="E13" s="675"/>
      <c r="F13" s="675"/>
    </row>
    <row r="14" spans="1:6" x14ac:dyDescent="0.25">
      <c r="A14" s="723">
        <v>4</v>
      </c>
      <c r="B14" s="726" t="s">
        <v>634</v>
      </c>
      <c r="C14" s="672">
        <v>2643.8046312779188</v>
      </c>
      <c r="D14" s="673"/>
      <c r="E14" s="717"/>
    </row>
    <row r="15" spans="1:6" x14ac:dyDescent="0.25">
      <c r="A15" s="727">
        <v>5</v>
      </c>
      <c r="B15" s="721" t="s">
        <v>635</v>
      </c>
      <c r="C15" s="722">
        <f>C6+C7-C10+C14</f>
        <v>1710037.7687115525</v>
      </c>
      <c r="D15" s="722">
        <f>D6+D7-D10+D14</f>
        <v>99875.934631852346</v>
      </c>
      <c r="E15" s="728"/>
    </row>
    <row r="16" spans="1:6" s="861" customFormat="1" x14ac:dyDescent="0.25">
      <c r="C16" s="868"/>
      <c r="D16" s="868"/>
    </row>
    <row r="17" spans="2:3" x14ac:dyDescent="0.25">
      <c r="C17" s="718"/>
    </row>
    <row r="18" spans="2:3" x14ac:dyDescent="0.25">
      <c r="C18" s="718"/>
    </row>
    <row r="19" spans="2:3" x14ac:dyDescent="0.25">
      <c r="C19" s="675"/>
    </row>
    <row r="22" spans="2:3" x14ac:dyDescent="0.25">
      <c r="B22" s="729"/>
    </row>
    <row r="28" spans="2:3" x14ac:dyDescent="0.25">
      <c r="C28" s="675"/>
    </row>
  </sheetData>
  <mergeCells count="1">
    <mergeCell ref="A5:B5"/>
  </mergeCells>
  <pageMargins left="0.7" right="0.7" top="0.75" bottom="0.75" header="0.3" footer="0.3"/>
  <pageSetup orientation="portrait" horizontalDpi="4294967292"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B7F9A-C8D1-4C9A-A240-9F1638AE11D0}">
  <dimension ref="A1:D24"/>
  <sheetViews>
    <sheetView showGridLines="0" topLeftCell="B1" zoomScaleNormal="100" workbookViewId="0">
      <selection activeCell="C7" sqref="C7:C18"/>
    </sheetView>
  </sheetViews>
  <sheetFormatPr defaultColWidth="9.140625" defaultRowHeight="12.75" x14ac:dyDescent="0.25"/>
  <cols>
    <col min="1" max="1" width="11.85546875" style="684" bestFit="1" customWidth="1"/>
    <col min="2" max="2" width="128.85546875" style="684" bestFit="1" customWidth="1"/>
    <col min="3" max="3" width="37" style="684" customWidth="1"/>
    <col min="4" max="4" width="50.5703125" style="684" customWidth="1"/>
    <col min="5" max="6" width="9.140625" style="684"/>
    <col min="7" max="7" width="62.140625" style="684" customWidth="1"/>
    <col min="8" max="16384" width="9.140625" style="684"/>
  </cols>
  <sheetData>
    <row r="1" spans="1:4" ht="13.5" x14ac:dyDescent="0.25">
      <c r="A1" s="653" t="s">
        <v>41</v>
      </c>
      <c r="B1" s="24" t="str">
        <f>Info!C2</f>
        <v>სს სილქ ბანკი</v>
      </c>
    </row>
    <row r="2" spans="1:4" x14ac:dyDescent="0.25">
      <c r="A2" s="653" t="s">
        <v>42</v>
      </c>
      <c r="B2" s="655">
        <f>'1. key ratios'!B2</f>
        <v>45291</v>
      </c>
    </row>
    <row r="3" spans="1:4" x14ac:dyDescent="0.25">
      <c r="A3" s="656" t="s">
        <v>636</v>
      </c>
    </row>
    <row r="4" spans="1:4" ht="40.5" customHeight="1" x14ac:dyDescent="0.25">
      <c r="A4" s="656"/>
    </row>
    <row r="5" spans="1:4" ht="15" customHeight="1" x14ac:dyDescent="0.25">
      <c r="A5" s="730" t="s">
        <v>35</v>
      </c>
      <c r="B5" s="731"/>
      <c r="C5" s="732" t="s">
        <v>637</v>
      </c>
      <c r="D5" s="732" t="s">
        <v>638</v>
      </c>
    </row>
    <row r="6" spans="1:4" x14ac:dyDescent="0.25">
      <c r="A6" s="733"/>
      <c r="B6" s="734"/>
      <c r="C6" s="732"/>
      <c r="D6" s="732"/>
    </row>
    <row r="7" spans="1:4" x14ac:dyDescent="0.25">
      <c r="A7" s="702">
        <v>1</v>
      </c>
      <c r="B7" s="702" t="s">
        <v>639</v>
      </c>
      <c r="C7" s="694">
        <v>1289750.8599999999</v>
      </c>
      <c r="D7" s="735"/>
    </row>
    <row r="8" spans="1:4" x14ac:dyDescent="0.25">
      <c r="A8" s="695">
        <v>2</v>
      </c>
      <c r="B8" s="695" t="s">
        <v>640</v>
      </c>
      <c r="C8" s="693">
        <v>59052.866771835194</v>
      </c>
      <c r="D8" s="735"/>
    </row>
    <row r="9" spans="1:4" x14ac:dyDescent="0.25">
      <c r="A9" s="695">
        <v>3</v>
      </c>
      <c r="B9" s="736" t="s">
        <v>641</v>
      </c>
      <c r="C9" s="693">
        <v>5375</v>
      </c>
      <c r="D9" s="735"/>
    </row>
    <row r="10" spans="1:4" x14ac:dyDescent="0.25">
      <c r="A10" s="695">
        <v>4</v>
      </c>
      <c r="B10" s="695" t="s">
        <v>642</v>
      </c>
      <c r="C10" s="693">
        <f>SUM(C11:C17)</f>
        <v>114461.2375</v>
      </c>
      <c r="D10" s="735"/>
    </row>
    <row r="11" spans="1:4" x14ac:dyDescent="0.25">
      <c r="A11" s="695">
        <v>5</v>
      </c>
      <c r="B11" s="737" t="s">
        <v>643</v>
      </c>
      <c r="C11" s="693"/>
      <c r="D11" s="735"/>
    </row>
    <row r="12" spans="1:4" x14ac:dyDescent="0.25">
      <c r="A12" s="695">
        <v>6</v>
      </c>
      <c r="B12" s="737" t="s">
        <v>644</v>
      </c>
      <c r="C12" s="693">
        <v>86887</v>
      </c>
      <c r="D12" s="735"/>
    </row>
    <row r="13" spans="1:4" x14ac:dyDescent="0.25">
      <c r="A13" s="695">
        <v>7</v>
      </c>
      <c r="B13" s="737" t="s">
        <v>645</v>
      </c>
      <c r="C13" s="694">
        <f>'20. Reserves'!C11</f>
        <v>27574.237499999999</v>
      </c>
      <c r="D13" s="735"/>
    </row>
    <row r="14" spans="1:4" x14ac:dyDescent="0.25">
      <c r="A14" s="695">
        <v>8</v>
      </c>
      <c r="B14" s="737" t="s">
        <v>646</v>
      </c>
      <c r="C14" s="693"/>
      <c r="D14" s="695"/>
    </row>
    <row r="15" spans="1:4" x14ac:dyDescent="0.25">
      <c r="A15" s="695">
        <v>9</v>
      </c>
      <c r="B15" s="737" t="s">
        <v>647</v>
      </c>
      <c r="C15" s="693"/>
      <c r="D15" s="695"/>
    </row>
    <row r="16" spans="1:4" x14ac:dyDescent="0.25">
      <c r="A16" s="695">
        <v>10</v>
      </c>
      <c r="B16" s="737" t="s">
        <v>648</v>
      </c>
      <c r="C16" s="693"/>
      <c r="D16" s="695"/>
    </row>
    <row r="17" spans="1:4" ht="25.5" x14ac:dyDescent="0.25">
      <c r="A17" s="695">
        <v>11</v>
      </c>
      <c r="B17" s="737" t="s">
        <v>649</v>
      </c>
      <c r="C17" s="693"/>
      <c r="D17" s="735"/>
    </row>
    <row r="18" spans="1:4" x14ac:dyDescent="0.25">
      <c r="A18" s="702">
        <v>12</v>
      </c>
      <c r="B18" s="738" t="s">
        <v>650</v>
      </c>
      <c r="C18" s="880">
        <f>SUM(C7:C9,-C10)</f>
        <v>1239717.489271835</v>
      </c>
      <c r="D18" s="735"/>
    </row>
    <row r="19" spans="1:4" x14ac:dyDescent="0.25">
      <c r="C19" s="881"/>
    </row>
    <row r="20" spans="1:4" x14ac:dyDescent="0.25">
      <c r="C20" s="882"/>
    </row>
    <row r="21" spans="1:4" x14ac:dyDescent="0.25">
      <c r="B21" s="653"/>
      <c r="C21" s="883"/>
    </row>
    <row r="22" spans="1:4" x14ac:dyDescent="0.25">
      <c r="B22" s="739"/>
      <c r="C22" s="883"/>
    </row>
    <row r="23" spans="1:4" x14ac:dyDescent="0.25">
      <c r="B23" s="656"/>
      <c r="C23" s="883"/>
    </row>
    <row r="24" spans="1:4" x14ac:dyDescent="0.25">
      <c r="C24" s="884"/>
    </row>
  </sheetData>
  <mergeCells count="3">
    <mergeCell ref="A5:B6"/>
    <mergeCell ref="C5:C6"/>
    <mergeCell ref="D5:D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DBA12-2AE5-4039-86E2-52692BAE0C52}">
  <dimension ref="A1:AB42"/>
  <sheetViews>
    <sheetView showGridLines="0" zoomScale="110" zoomScaleNormal="110" workbookViewId="0">
      <selection activeCell="C8" sqref="C8:AA28"/>
    </sheetView>
  </sheetViews>
  <sheetFormatPr defaultColWidth="9.140625" defaultRowHeight="12.75" x14ac:dyDescent="0.25"/>
  <cols>
    <col min="1" max="1" width="11.85546875" style="684" bestFit="1" customWidth="1"/>
    <col min="2" max="2" width="63.85546875" style="684" customWidth="1"/>
    <col min="3" max="3" width="15.5703125" style="684" customWidth="1"/>
    <col min="4" max="4" width="18.28515625" style="684" customWidth="1"/>
    <col min="5" max="6" width="22.28515625" style="684" customWidth="1"/>
    <col min="7" max="7" width="19" style="684" customWidth="1"/>
    <col min="8" max="18" width="22.28515625" style="684" customWidth="1"/>
    <col min="19" max="19" width="23.28515625" style="684" bestFit="1" customWidth="1"/>
    <col min="20" max="26" width="22.28515625" style="684" customWidth="1"/>
    <col min="27" max="27" width="23.28515625" style="684" customWidth="1"/>
    <col min="28" max="28" width="20" style="684" customWidth="1"/>
    <col min="29" max="16384" width="9.140625" style="684"/>
  </cols>
  <sheetData>
    <row r="1" spans="1:28" ht="13.5" x14ac:dyDescent="0.25">
      <c r="A1" s="653" t="s">
        <v>41</v>
      </c>
      <c r="B1" s="24" t="str">
        <f>Info!C2</f>
        <v>სს სილქ ბანკი</v>
      </c>
    </row>
    <row r="2" spans="1:28" x14ac:dyDescent="0.25">
      <c r="A2" s="653" t="s">
        <v>42</v>
      </c>
      <c r="B2" s="655">
        <f>'1. key ratios'!B2</f>
        <v>45291</v>
      </c>
      <c r="C2" s="685"/>
    </row>
    <row r="3" spans="1:28" x14ac:dyDescent="0.25">
      <c r="A3" s="656" t="s">
        <v>651</v>
      </c>
      <c r="E3" s="741"/>
      <c r="F3" s="742"/>
    </row>
    <row r="4" spans="1:28" ht="40.5" customHeight="1" x14ac:dyDescent="0.25">
      <c r="C4" s="740"/>
    </row>
    <row r="5" spans="1:28" ht="15" customHeight="1" x14ac:dyDescent="0.25">
      <c r="A5" s="743" t="s">
        <v>652</v>
      </c>
      <c r="B5" s="744"/>
      <c r="C5" s="710" t="s">
        <v>653</v>
      </c>
      <c r="D5" s="745"/>
      <c r="E5" s="745"/>
      <c r="F5" s="745"/>
      <c r="G5" s="745"/>
      <c r="H5" s="745"/>
      <c r="I5" s="745"/>
      <c r="J5" s="745"/>
      <c r="K5" s="745"/>
      <c r="L5" s="745"/>
      <c r="M5" s="745"/>
      <c r="N5" s="745"/>
      <c r="O5" s="745"/>
      <c r="P5" s="745"/>
      <c r="Q5" s="745"/>
      <c r="R5" s="745"/>
      <c r="S5" s="745"/>
      <c r="T5" s="746"/>
      <c r="U5" s="746"/>
      <c r="V5" s="746"/>
      <c r="W5" s="746"/>
      <c r="X5" s="746"/>
      <c r="Y5" s="746"/>
      <c r="Z5" s="746"/>
      <c r="AA5" s="747"/>
      <c r="AB5" s="741"/>
    </row>
    <row r="6" spans="1:28" x14ac:dyDescent="0.25">
      <c r="A6" s="748"/>
      <c r="B6" s="749"/>
      <c r="C6" s="750" t="s">
        <v>96</v>
      </c>
      <c r="D6" s="751" t="s">
        <v>654</v>
      </c>
      <c r="E6" s="751"/>
      <c r="F6" s="751"/>
      <c r="G6" s="751"/>
      <c r="H6" s="752" t="s">
        <v>655</v>
      </c>
      <c r="I6" s="753"/>
      <c r="J6" s="753"/>
      <c r="K6" s="754"/>
      <c r="L6" s="755"/>
      <c r="M6" s="756" t="s">
        <v>656</v>
      </c>
      <c r="N6" s="756"/>
      <c r="O6" s="756"/>
      <c r="P6" s="756"/>
      <c r="Q6" s="756"/>
      <c r="R6" s="756"/>
      <c r="S6" s="691"/>
      <c r="T6" s="757"/>
      <c r="U6" s="711" t="s">
        <v>657</v>
      </c>
      <c r="V6" s="711"/>
      <c r="W6" s="711"/>
      <c r="X6" s="711"/>
      <c r="Y6" s="711"/>
      <c r="Z6" s="711"/>
      <c r="AA6" s="687"/>
      <c r="AB6" s="755"/>
    </row>
    <row r="7" spans="1:28" ht="25.5" x14ac:dyDescent="0.25">
      <c r="A7" s="758"/>
      <c r="B7" s="759"/>
      <c r="C7" s="760"/>
      <c r="D7" s="761"/>
      <c r="E7" s="689" t="s">
        <v>658</v>
      </c>
      <c r="F7" s="689" t="s">
        <v>659</v>
      </c>
      <c r="G7" s="689" t="s">
        <v>660</v>
      </c>
      <c r="H7" s="762"/>
      <c r="I7" s="689" t="s">
        <v>658</v>
      </c>
      <c r="J7" s="689" t="s">
        <v>659</v>
      </c>
      <c r="K7" s="689" t="s">
        <v>660</v>
      </c>
      <c r="L7" s="763"/>
      <c r="M7" s="689" t="s">
        <v>658</v>
      </c>
      <c r="N7" s="689" t="s">
        <v>659</v>
      </c>
      <c r="O7" s="689" t="s">
        <v>661</v>
      </c>
      <c r="P7" s="689" t="s">
        <v>662</v>
      </c>
      <c r="Q7" s="689" t="s">
        <v>663</v>
      </c>
      <c r="R7" s="689" t="s">
        <v>664</v>
      </c>
      <c r="S7" s="689" t="s">
        <v>665</v>
      </c>
      <c r="T7" s="764"/>
      <c r="U7" s="689" t="s">
        <v>658</v>
      </c>
      <c r="V7" s="689" t="s">
        <v>659</v>
      </c>
      <c r="W7" s="689" t="s">
        <v>661</v>
      </c>
      <c r="X7" s="689" t="s">
        <v>662</v>
      </c>
      <c r="Y7" s="689" t="s">
        <v>663</v>
      </c>
      <c r="Z7" s="689" t="s">
        <v>664</v>
      </c>
      <c r="AA7" s="689" t="s">
        <v>665</v>
      </c>
      <c r="AB7" s="741"/>
    </row>
    <row r="8" spans="1:28" x14ac:dyDescent="0.25">
      <c r="A8" s="765">
        <v>1</v>
      </c>
      <c r="B8" s="702" t="s">
        <v>624</v>
      </c>
      <c r="C8" s="714">
        <f>D8+H8+L8</f>
        <v>56782676.020095877</v>
      </c>
      <c r="D8" s="693">
        <f>D13+D14</f>
        <v>55161091.714673392</v>
      </c>
      <c r="E8" s="693">
        <f t="shared" ref="E8:AA8" si="0">E13+E14</f>
        <v>156402.45916079573</v>
      </c>
      <c r="F8" s="693">
        <f t="shared" si="0"/>
        <v>0</v>
      </c>
      <c r="G8" s="693">
        <f t="shared" si="0"/>
        <v>0</v>
      </c>
      <c r="H8" s="693">
        <f t="shared" si="0"/>
        <v>381867.30333960027</v>
      </c>
      <c r="I8" s="693">
        <f t="shared" si="0"/>
        <v>62</v>
      </c>
      <c r="J8" s="693">
        <f t="shared" si="0"/>
        <v>270436.92333960027</v>
      </c>
      <c r="K8" s="693">
        <f t="shared" si="0"/>
        <v>0</v>
      </c>
      <c r="L8" s="693">
        <f t="shared" si="0"/>
        <v>1239717.0020828845</v>
      </c>
      <c r="M8" s="693">
        <f t="shared" si="0"/>
        <v>0</v>
      </c>
      <c r="N8" s="693">
        <f t="shared" si="0"/>
        <v>0</v>
      </c>
      <c r="O8" s="693">
        <f t="shared" si="0"/>
        <v>214827.61208288459</v>
      </c>
      <c r="P8" s="693">
        <f t="shared" si="0"/>
        <v>6147.16</v>
      </c>
      <c r="Q8" s="693">
        <f t="shared" si="0"/>
        <v>0</v>
      </c>
      <c r="R8" s="693">
        <f t="shared" si="0"/>
        <v>832740.66</v>
      </c>
      <c r="S8" s="693">
        <f t="shared" si="0"/>
        <v>0</v>
      </c>
      <c r="T8" s="693">
        <f t="shared" si="0"/>
        <v>0</v>
      </c>
      <c r="U8" s="693">
        <f t="shared" si="0"/>
        <v>0</v>
      </c>
      <c r="V8" s="693">
        <f t="shared" si="0"/>
        <v>0</v>
      </c>
      <c r="W8" s="693">
        <f t="shared" si="0"/>
        <v>0</v>
      </c>
      <c r="X8" s="693">
        <f t="shared" si="0"/>
        <v>0</v>
      </c>
      <c r="Y8" s="693">
        <f t="shared" si="0"/>
        <v>0</v>
      </c>
      <c r="Z8" s="693">
        <f t="shared" si="0"/>
        <v>0</v>
      </c>
      <c r="AA8" s="693">
        <f t="shared" si="0"/>
        <v>0</v>
      </c>
    </row>
    <row r="9" spans="1:28" x14ac:dyDescent="0.25">
      <c r="A9" s="695">
        <v>1.1000000000000001</v>
      </c>
      <c r="B9" s="723" t="s">
        <v>666</v>
      </c>
      <c r="C9" s="714">
        <f t="shared" ref="C9:C14" si="1">D9+H9+L9</f>
        <v>0</v>
      </c>
      <c r="D9" s="693"/>
      <c r="E9" s="693"/>
      <c r="F9" s="693"/>
      <c r="G9" s="693"/>
      <c r="H9" s="693"/>
      <c r="I9" s="693"/>
      <c r="J9" s="693"/>
      <c r="K9" s="693"/>
      <c r="L9" s="693"/>
      <c r="M9" s="693"/>
      <c r="N9" s="693"/>
      <c r="O9" s="693"/>
      <c r="P9" s="693"/>
      <c r="Q9" s="693"/>
      <c r="R9" s="693"/>
      <c r="S9" s="693"/>
      <c r="T9" s="693"/>
      <c r="U9" s="693"/>
      <c r="V9" s="693"/>
      <c r="W9" s="693"/>
      <c r="X9" s="693"/>
      <c r="Y9" s="693"/>
      <c r="Z9" s="693"/>
      <c r="AA9" s="693"/>
    </row>
    <row r="10" spans="1:28" x14ac:dyDescent="0.25">
      <c r="A10" s="695">
        <v>1.2</v>
      </c>
      <c r="B10" s="723" t="s">
        <v>667</v>
      </c>
      <c r="C10" s="714">
        <f t="shared" si="1"/>
        <v>0</v>
      </c>
      <c r="D10" s="693"/>
      <c r="E10" s="693"/>
      <c r="F10" s="693"/>
      <c r="G10" s="693"/>
      <c r="H10" s="693"/>
      <c r="I10" s="693"/>
      <c r="J10" s="693"/>
      <c r="K10" s="693"/>
      <c r="L10" s="693"/>
      <c r="M10" s="693"/>
      <c r="N10" s="693"/>
      <c r="O10" s="693"/>
      <c r="P10" s="693"/>
      <c r="Q10" s="693"/>
      <c r="R10" s="693"/>
      <c r="S10" s="693"/>
      <c r="T10" s="693"/>
      <c r="U10" s="693"/>
      <c r="V10" s="693"/>
      <c r="W10" s="693"/>
      <c r="X10" s="693"/>
      <c r="Y10" s="693"/>
      <c r="Z10" s="693"/>
      <c r="AA10" s="693"/>
    </row>
    <row r="11" spans="1:28" x14ac:dyDescent="0.25">
      <c r="A11" s="695">
        <v>1.3</v>
      </c>
      <c r="B11" s="723" t="s">
        <v>668</v>
      </c>
      <c r="C11" s="714">
        <f t="shared" si="1"/>
        <v>0</v>
      </c>
      <c r="D11" s="693"/>
      <c r="E11" s="693"/>
      <c r="F11" s="693"/>
      <c r="G11" s="693"/>
      <c r="H11" s="693"/>
      <c r="I11" s="693"/>
      <c r="J11" s="693"/>
      <c r="K11" s="693"/>
      <c r="L11" s="693"/>
      <c r="M11" s="693"/>
      <c r="N11" s="693"/>
      <c r="O11" s="693"/>
      <c r="P11" s="693"/>
      <c r="Q11" s="693"/>
      <c r="R11" s="693"/>
      <c r="S11" s="693"/>
      <c r="T11" s="693"/>
      <c r="U11" s="693"/>
      <c r="V11" s="693"/>
      <c r="W11" s="693"/>
      <c r="X11" s="693"/>
      <c r="Y11" s="693"/>
      <c r="Z11" s="693"/>
      <c r="AA11" s="693"/>
    </row>
    <row r="12" spans="1:28" x14ac:dyDescent="0.25">
      <c r="A12" s="695">
        <v>1.4</v>
      </c>
      <c r="B12" s="723" t="s">
        <v>669</v>
      </c>
      <c r="C12" s="714">
        <f t="shared" si="1"/>
        <v>0</v>
      </c>
      <c r="D12" s="693"/>
      <c r="E12" s="693"/>
      <c r="F12" s="693"/>
      <c r="G12" s="693"/>
      <c r="H12" s="693"/>
      <c r="I12" s="693"/>
      <c r="J12" s="693"/>
      <c r="K12" s="693"/>
      <c r="L12" s="693"/>
      <c r="M12" s="693"/>
      <c r="N12" s="693"/>
      <c r="O12" s="693"/>
      <c r="P12" s="693"/>
      <c r="Q12" s="693"/>
      <c r="R12" s="693"/>
      <c r="S12" s="693"/>
      <c r="T12" s="693"/>
      <c r="U12" s="693"/>
      <c r="V12" s="693"/>
      <c r="W12" s="693"/>
      <c r="X12" s="693"/>
      <c r="Y12" s="693"/>
      <c r="Z12" s="693"/>
      <c r="AA12" s="693"/>
    </row>
    <row r="13" spans="1:28" x14ac:dyDescent="0.25">
      <c r="A13" s="695">
        <v>1.5</v>
      </c>
      <c r="B13" s="723" t="s">
        <v>670</v>
      </c>
      <c r="C13" s="880">
        <f t="shared" si="1"/>
        <v>41727143.315756202</v>
      </c>
      <c r="D13" s="694">
        <v>40644622.555325828</v>
      </c>
      <c r="E13" s="694">
        <v>0</v>
      </c>
      <c r="F13" s="694">
        <v>0</v>
      </c>
      <c r="G13" s="694">
        <v>0</v>
      </c>
      <c r="H13" s="694">
        <v>172733.32064935064</v>
      </c>
      <c r="I13" s="694">
        <v>0</v>
      </c>
      <c r="J13" s="694">
        <v>172733.32064935064</v>
      </c>
      <c r="K13" s="694">
        <v>0</v>
      </c>
      <c r="L13" s="694">
        <v>909787.43978102191</v>
      </c>
      <c r="M13" s="694">
        <v>0</v>
      </c>
      <c r="N13" s="694">
        <v>0</v>
      </c>
      <c r="O13" s="694">
        <v>77046.779781021891</v>
      </c>
      <c r="P13" s="694">
        <v>0</v>
      </c>
      <c r="Q13" s="694">
        <v>0</v>
      </c>
      <c r="R13" s="694">
        <v>832740.66</v>
      </c>
      <c r="S13" s="694">
        <v>0</v>
      </c>
      <c r="T13" s="694"/>
      <c r="U13" s="694"/>
      <c r="V13" s="694"/>
      <c r="W13" s="694"/>
      <c r="X13" s="694"/>
      <c r="Y13" s="694"/>
      <c r="Z13" s="694"/>
      <c r="AA13" s="694"/>
    </row>
    <row r="14" spans="1:28" x14ac:dyDescent="0.25">
      <c r="A14" s="695">
        <v>1.6</v>
      </c>
      <c r="B14" s="723" t="s">
        <v>671</v>
      </c>
      <c r="C14" s="880">
        <f t="shared" si="1"/>
        <v>15055532.704339677</v>
      </c>
      <c r="D14" s="694">
        <v>14516469.159347564</v>
      </c>
      <c r="E14" s="694">
        <v>156402.45916079573</v>
      </c>
      <c r="F14" s="694">
        <v>0</v>
      </c>
      <c r="G14" s="694">
        <v>0</v>
      </c>
      <c r="H14" s="694">
        <v>209133.98269024963</v>
      </c>
      <c r="I14" s="694">
        <v>62</v>
      </c>
      <c r="J14" s="694">
        <v>97703.602690249623</v>
      </c>
      <c r="K14" s="694">
        <v>0</v>
      </c>
      <c r="L14" s="694">
        <v>329929.56230186269</v>
      </c>
      <c r="M14" s="694">
        <v>0</v>
      </c>
      <c r="N14" s="694">
        <v>0</v>
      </c>
      <c r="O14" s="694">
        <v>137780.83230186271</v>
      </c>
      <c r="P14" s="694">
        <v>6147.16</v>
      </c>
      <c r="Q14" s="694">
        <v>0</v>
      </c>
      <c r="R14" s="694">
        <v>0</v>
      </c>
      <c r="S14" s="694">
        <v>0</v>
      </c>
      <c r="T14" s="694"/>
      <c r="U14" s="694"/>
      <c r="V14" s="694"/>
      <c r="W14" s="694"/>
      <c r="X14" s="694"/>
      <c r="Y14" s="694"/>
      <c r="Z14" s="694"/>
      <c r="AA14" s="694"/>
    </row>
    <row r="15" spans="1:28" x14ac:dyDescent="0.25">
      <c r="A15" s="765">
        <v>2</v>
      </c>
      <c r="B15" s="702" t="s">
        <v>108</v>
      </c>
      <c r="C15" s="887">
        <f>C17</f>
        <v>27313646.890000001</v>
      </c>
      <c r="D15" s="887">
        <f>D17</f>
        <v>27313646.890000001</v>
      </c>
      <c r="E15" s="695"/>
      <c r="F15" s="695"/>
      <c r="G15" s="695"/>
      <c r="H15" s="695"/>
      <c r="I15" s="695"/>
      <c r="J15" s="695"/>
      <c r="K15" s="695"/>
      <c r="L15" s="695"/>
      <c r="M15" s="695"/>
      <c r="N15" s="695"/>
      <c r="O15" s="695"/>
      <c r="P15" s="695"/>
      <c r="Q15" s="695"/>
      <c r="R15" s="695"/>
      <c r="S15" s="695"/>
      <c r="T15" s="695"/>
      <c r="U15" s="695"/>
      <c r="V15" s="695"/>
      <c r="W15" s="695"/>
      <c r="X15" s="695"/>
      <c r="Y15" s="695"/>
      <c r="Z15" s="695"/>
      <c r="AA15" s="695"/>
    </row>
    <row r="16" spans="1:28" x14ac:dyDescent="0.25">
      <c r="A16" s="695">
        <v>2.1</v>
      </c>
      <c r="B16" s="723" t="s">
        <v>666</v>
      </c>
      <c r="C16" s="723"/>
      <c r="D16" s="695"/>
      <c r="E16" s="695"/>
      <c r="F16" s="695"/>
      <c r="G16" s="695"/>
      <c r="H16" s="695"/>
      <c r="I16" s="695"/>
      <c r="J16" s="695"/>
      <c r="K16" s="695"/>
      <c r="L16" s="695"/>
      <c r="M16" s="695"/>
      <c r="N16" s="695"/>
      <c r="O16" s="695"/>
      <c r="P16" s="695"/>
      <c r="Q16" s="695"/>
      <c r="R16" s="695"/>
      <c r="S16" s="695"/>
      <c r="T16" s="695"/>
      <c r="U16" s="695"/>
      <c r="V16" s="695"/>
      <c r="W16" s="695"/>
      <c r="X16" s="695"/>
      <c r="Y16" s="695"/>
      <c r="Z16" s="695"/>
      <c r="AA16" s="695"/>
    </row>
    <row r="17" spans="1:27" x14ac:dyDescent="0.25">
      <c r="A17" s="695">
        <v>2.2000000000000002</v>
      </c>
      <c r="B17" s="723" t="s">
        <v>667</v>
      </c>
      <c r="C17" s="886">
        <f>D17+H17+L17</f>
        <v>27313646.890000001</v>
      </c>
      <c r="D17" s="694">
        <v>27313646.890000001</v>
      </c>
      <c r="E17" s="695"/>
      <c r="F17" s="695"/>
      <c r="G17" s="695"/>
      <c r="H17" s="695"/>
      <c r="I17" s="695"/>
      <c r="J17" s="695"/>
      <c r="K17" s="695"/>
      <c r="L17" s="695"/>
      <c r="M17" s="695"/>
      <c r="N17" s="695"/>
      <c r="O17" s="695"/>
      <c r="P17" s="695"/>
      <c r="Q17" s="695"/>
      <c r="R17" s="695"/>
      <c r="S17" s="695"/>
      <c r="T17" s="695"/>
      <c r="U17" s="695"/>
      <c r="V17" s="695"/>
      <c r="W17" s="695"/>
      <c r="X17" s="695"/>
      <c r="Y17" s="695"/>
      <c r="Z17" s="695"/>
      <c r="AA17" s="695"/>
    </row>
    <row r="18" spans="1:27" x14ac:dyDescent="0.25">
      <c r="A18" s="695">
        <v>2.2999999999999998</v>
      </c>
      <c r="B18" s="723" t="s">
        <v>668</v>
      </c>
      <c r="C18" s="723"/>
      <c r="D18" s="695"/>
      <c r="E18" s="695"/>
      <c r="G18" s="695"/>
      <c r="H18" s="695"/>
      <c r="I18" s="695"/>
      <c r="J18" s="695"/>
      <c r="K18" s="695"/>
      <c r="L18" s="695"/>
      <c r="M18" s="695"/>
      <c r="N18" s="695"/>
      <c r="O18" s="695"/>
      <c r="P18" s="695"/>
      <c r="Q18" s="695"/>
      <c r="R18" s="695"/>
      <c r="S18" s="695"/>
      <c r="T18" s="695"/>
      <c r="U18" s="695"/>
      <c r="V18" s="695"/>
      <c r="W18" s="695"/>
      <c r="X18" s="695"/>
      <c r="Y18" s="695"/>
      <c r="Z18" s="695"/>
      <c r="AA18" s="695"/>
    </row>
    <row r="19" spans="1:27" x14ac:dyDescent="0.25">
      <c r="A19" s="695">
        <v>2.4</v>
      </c>
      <c r="B19" s="723" t="s">
        <v>669</v>
      </c>
      <c r="C19" s="723"/>
      <c r="D19" s="695"/>
      <c r="E19" s="695"/>
      <c r="F19" s="695"/>
      <c r="G19" s="695"/>
      <c r="H19" s="695"/>
      <c r="I19" s="695"/>
      <c r="J19" s="695"/>
      <c r="K19" s="695"/>
      <c r="L19" s="695"/>
      <c r="M19" s="695"/>
      <c r="N19" s="695"/>
      <c r="O19" s="695"/>
      <c r="P19" s="695"/>
      <c r="Q19" s="695"/>
      <c r="R19" s="695"/>
      <c r="S19" s="695"/>
      <c r="T19" s="695"/>
      <c r="U19" s="695"/>
      <c r="V19" s="695"/>
      <c r="W19" s="695"/>
      <c r="X19" s="695"/>
      <c r="Y19" s="695"/>
      <c r="Z19" s="695"/>
      <c r="AA19" s="695"/>
    </row>
    <row r="20" spans="1:27" x14ac:dyDescent="0.25">
      <c r="A20" s="695">
        <v>2.5</v>
      </c>
      <c r="B20" s="723" t="s">
        <v>670</v>
      </c>
      <c r="C20" s="723"/>
      <c r="D20" s="695"/>
      <c r="E20" s="695"/>
      <c r="F20" s="695"/>
      <c r="G20" s="695"/>
      <c r="H20" s="695"/>
      <c r="I20" s="695"/>
      <c r="J20" s="695"/>
      <c r="K20" s="695"/>
      <c r="L20" s="695"/>
      <c r="M20" s="695"/>
      <c r="N20" s="695"/>
      <c r="O20" s="695"/>
      <c r="P20" s="695"/>
      <c r="Q20" s="695"/>
      <c r="R20" s="695"/>
      <c r="S20" s="695"/>
      <c r="T20" s="695"/>
      <c r="U20" s="695"/>
      <c r="V20" s="695"/>
      <c r="W20" s="695"/>
      <c r="X20" s="695"/>
      <c r="Y20" s="695"/>
      <c r="Z20" s="695"/>
      <c r="AA20" s="695"/>
    </row>
    <row r="21" spans="1:27" x14ac:dyDescent="0.25">
      <c r="A21" s="695">
        <v>2.6</v>
      </c>
      <c r="B21" s="723" t="s">
        <v>671</v>
      </c>
      <c r="C21" s="723"/>
      <c r="D21" s="695"/>
      <c r="E21" s="695"/>
      <c r="F21" s="695"/>
      <c r="G21" s="695"/>
      <c r="H21" s="695"/>
      <c r="I21" s="695"/>
      <c r="J21" s="695"/>
      <c r="K21" s="695"/>
      <c r="L21" s="695"/>
      <c r="M21" s="695"/>
      <c r="N21" s="695"/>
      <c r="O21" s="695"/>
      <c r="P21" s="695"/>
      <c r="Q21" s="695"/>
      <c r="R21" s="695"/>
      <c r="S21" s="695"/>
      <c r="T21" s="695"/>
      <c r="U21" s="695"/>
      <c r="V21" s="695"/>
      <c r="W21" s="695"/>
      <c r="X21" s="695"/>
      <c r="Y21" s="695"/>
      <c r="Z21" s="695"/>
      <c r="AA21" s="695"/>
    </row>
    <row r="22" spans="1:27" x14ac:dyDescent="0.25">
      <c r="A22" s="765">
        <v>3</v>
      </c>
      <c r="B22" s="766" t="s">
        <v>672</v>
      </c>
      <c r="C22" s="888">
        <f>C27+C28</f>
        <v>7756747.8499999996</v>
      </c>
      <c r="D22" s="888">
        <f>D27+D28</f>
        <v>4287192.22</v>
      </c>
      <c r="E22" s="767"/>
      <c r="F22" s="767"/>
      <c r="G22" s="767"/>
      <c r="H22" s="702"/>
      <c r="I22" s="767"/>
      <c r="J22" s="767"/>
      <c r="K22" s="767"/>
      <c r="L22" s="702"/>
      <c r="M22" s="767"/>
      <c r="N22" s="767"/>
      <c r="O22" s="767"/>
      <c r="P22" s="767"/>
      <c r="Q22" s="767"/>
      <c r="R22" s="767"/>
      <c r="S22" s="767"/>
      <c r="T22" s="702"/>
      <c r="U22" s="767"/>
      <c r="V22" s="767"/>
      <c r="W22" s="767"/>
      <c r="X22" s="767"/>
      <c r="Y22" s="767"/>
      <c r="Z22" s="767"/>
      <c r="AA22" s="767"/>
    </row>
    <row r="23" spans="1:27" x14ac:dyDescent="0.25">
      <c r="A23" s="695">
        <v>3.1</v>
      </c>
      <c r="B23" s="723" t="s">
        <v>666</v>
      </c>
      <c r="C23" s="723"/>
      <c r="D23" s="702"/>
      <c r="E23" s="767"/>
      <c r="F23" s="767"/>
      <c r="G23" s="767"/>
      <c r="H23" s="702"/>
      <c r="I23" s="767"/>
      <c r="J23" s="767"/>
      <c r="K23" s="767"/>
      <c r="L23" s="702"/>
      <c r="M23" s="767"/>
      <c r="N23" s="767"/>
      <c r="O23" s="767"/>
      <c r="P23" s="767"/>
      <c r="Q23" s="767"/>
      <c r="R23" s="767"/>
      <c r="S23" s="767"/>
      <c r="T23" s="702"/>
      <c r="U23" s="767"/>
      <c r="V23" s="767"/>
      <c r="W23" s="767"/>
      <c r="X23" s="767"/>
      <c r="Y23" s="767"/>
      <c r="Z23" s="767"/>
      <c r="AA23" s="767"/>
    </row>
    <row r="24" spans="1:27" x14ac:dyDescent="0.25">
      <c r="A24" s="695">
        <v>3.2</v>
      </c>
      <c r="B24" s="723" t="s">
        <v>667</v>
      </c>
      <c r="C24" s="723"/>
      <c r="D24" s="702"/>
      <c r="E24" s="767"/>
      <c r="F24" s="767"/>
      <c r="G24" s="767"/>
      <c r="H24" s="702"/>
      <c r="I24" s="767"/>
      <c r="J24" s="767"/>
      <c r="K24" s="767"/>
      <c r="L24" s="702"/>
      <c r="M24" s="767"/>
      <c r="N24" s="767"/>
      <c r="O24" s="767"/>
      <c r="P24" s="767"/>
      <c r="Q24" s="767"/>
      <c r="R24" s="767"/>
      <c r="S24" s="767"/>
      <c r="T24" s="702"/>
      <c r="U24" s="767"/>
      <c r="V24" s="767"/>
      <c r="W24" s="767"/>
      <c r="X24" s="767"/>
      <c r="Y24" s="767"/>
      <c r="Z24" s="767"/>
      <c r="AA24" s="767"/>
    </row>
    <row r="25" spans="1:27" x14ac:dyDescent="0.25">
      <c r="A25" s="695">
        <v>3.3</v>
      </c>
      <c r="B25" s="723" t="s">
        <v>668</v>
      </c>
      <c r="C25" s="723"/>
      <c r="D25" s="702"/>
      <c r="E25" s="767"/>
      <c r="F25" s="767"/>
      <c r="G25" s="767"/>
      <c r="H25" s="702"/>
      <c r="I25" s="767"/>
      <c r="J25" s="767"/>
      <c r="K25" s="767"/>
      <c r="L25" s="702"/>
      <c r="M25" s="767"/>
      <c r="N25" s="767"/>
      <c r="O25" s="767"/>
      <c r="P25" s="767"/>
      <c r="Q25" s="767"/>
      <c r="R25" s="767"/>
      <c r="S25" s="767"/>
      <c r="T25" s="702"/>
      <c r="U25" s="767"/>
      <c r="V25" s="767"/>
      <c r="W25" s="767"/>
      <c r="X25" s="767"/>
      <c r="Y25" s="767"/>
      <c r="Z25" s="767"/>
      <c r="AA25" s="767"/>
    </row>
    <row r="26" spans="1:27" x14ac:dyDescent="0.25">
      <c r="A26" s="695">
        <v>3.4</v>
      </c>
      <c r="B26" s="723" t="s">
        <v>669</v>
      </c>
      <c r="C26" s="723"/>
      <c r="D26" s="702"/>
      <c r="E26" s="767"/>
      <c r="F26" s="767"/>
      <c r="G26" s="767"/>
      <c r="H26" s="702"/>
      <c r="I26" s="767"/>
      <c r="J26" s="767"/>
      <c r="K26" s="767"/>
      <c r="L26" s="702"/>
      <c r="M26" s="767"/>
      <c r="N26" s="767"/>
      <c r="O26" s="767"/>
      <c r="P26" s="767"/>
      <c r="Q26" s="767"/>
      <c r="R26" s="767"/>
      <c r="S26" s="767"/>
      <c r="T26" s="702"/>
      <c r="U26" s="767"/>
      <c r="V26" s="767"/>
      <c r="W26" s="767"/>
      <c r="X26" s="767"/>
      <c r="Y26" s="767"/>
      <c r="Z26" s="767"/>
      <c r="AA26" s="767"/>
    </row>
    <row r="27" spans="1:27" x14ac:dyDescent="0.25">
      <c r="A27" s="695">
        <v>3.5</v>
      </c>
      <c r="B27" s="723" t="s">
        <v>670</v>
      </c>
      <c r="C27" s="889">
        <f>D27+H27+L27</f>
        <v>4287192.22</v>
      </c>
      <c r="D27" s="873">
        <f>'4. Off-balance'!E28</f>
        <v>4287192.22</v>
      </c>
      <c r="E27" s="767"/>
      <c r="F27" s="767"/>
      <c r="G27" s="767"/>
      <c r="H27" s="702"/>
      <c r="I27" s="767"/>
      <c r="J27" s="767"/>
      <c r="K27" s="767"/>
      <c r="L27" s="702"/>
      <c r="M27" s="767"/>
      <c r="N27" s="767"/>
      <c r="O27" s="767"/>
      <c r="P27" s="767"/>
      <c r="Q27" s="767"/>
      <c r="R27" s="767"/>
      <c r="S27" s="767"/>
      <c r="T27" s="702"/>
      <c r="U27" s="767"/>
      <c r="V27" s="767"/>
      <c r="W27" s="767"/>
      <c r="X27" s="767"/>
      <c r="Y27" s="767"/>
      <c r="Z27" s="767"/>
      <c r="AA27" s="767"/>
    </row>
    <row r="28" spans="1:27" x14ac:dyDescent="0.25">
      <c r="A28" s="695">
        <v>3.6</v>
      </c>
      <c r="B28" s="723" t="s">
        <v>671</v>
      </c>
      <c r="C28" s="889">
        <f>'4. Off-balance'!E27</f>
        <v>3469555.63</v>
      </c>
      <c r="D28" s="890"/>
      <c r="E28" s="767"/>
      <c r="F28" s="767"/>
      <c r="G28" s="767"/>
      <c r="H28" s="702"/>
      <c r="I28" s="767"/>
      <c r="J28" s="767"/>
      <c r="K28" s="767"/>
      <c r="L28" s="702"/>
      <c r="M28" s="767"/>
      <c r="N28" s="767"/>
      <c r="O28" s="767"/>
      <c r="P28" s="767"/>
      <c r="Q28" s="767"/>
      <c r="R28" s="767"/>
      <c r="S28" s="767"/>
      <c r="T28" s="702"/>
      <c r="U28" s="767"/>
      <c r="V28" s="767"/>
      <c r="W28" s="767"/>
      <c r="X28" s="767"/>
      <c r="Y28" s="767"/>
      <c r="Z28" s="767"/>
      <c r="AA28" s="767"/>
    </row>
    <row r="30" spans="1:27" s="883" customFormat="1" x14ac:dyDescent="0.25">
      <c r="C30" s="862"/>
      <c r="D30" s="862"/>
      <c r="H30" s="862"/>
      <c r="L30" s="862"/>
    </row>
    <row r="31" spans="1:27" s="883" customFormat="1" x14ac:dyDescent="0.25">
      <c r="C31" s="862"/>
      <c r="D31" s="862"/>
      <c r="E31" s="862"/>
      <c r="F31" s="862"/>
      <c r="G31" s="862"/>
      <c r="H31" s="862"/>
      <c r="I31" s="862"/>
      <c r="J31" s="862"/>
      <c r="K31" s="862"/>
      <c r="L31" s="862"/>
      <c r="M31" s="862"/>
      <c r="N31" s="862"/>
      <c r="O31" s="862"/>
      <c r="P31" s="862"/>
      <c r="Q31" s="862"/>
      <c r="R31" s="862"/>
      <c r="S31" s="862"/>
    </row>
    <row r="32" spans="1:27" s="883" customFormat="1" ht="13.5" x14ac:dyDescent="0.25">
      <c r="B32" s="885"/>
      <c r="D32" s="862"/>
    </row>
    <row r="33" spans="5:27" s="883" customFormat="1" x14ac:dyDescent="0.25"/>
    <row r="34" spans="5:27" s="883" customFormat="1" x14ac:dyDescent="0.25">
      <c r="F34" s="867"/>
    </row>
    <row r="35" spans="5:27" s="883" customFormat="1" x14ac:dyDescent="0.25">
      <c r="E35" s="884"/>
      <c r="F35" s="884"/>
      <c r="G35" s="884"/>
      <c r="H35" s="884"/>
      <c r="I35" s="884"/>
      <c r="J35" s="884"/>
      <c r="K35" s="884"/>
      <c r="L35" s="884"/>
      <c r="M35" s="884"/>
      <c r="N35" s="884"/>
      <c r="O35" s="884"/>
      <c r="P35" s="884"/>
      <c r="Q35" s="884"/>
      <c r="R35" s="884"/>
      <c r="S35" s="884"/>
      <c r="T35" s="884"/>
      <c r="U35" s="884"/>
      <c r="V35" s="884"/>
      <c r="W35" s="884"/>
      <c r="X35" s="884"/>
      <c r="Y35" s="884"/>
      <c r="Z35" s="884"/>
      <c r="AA35" s="884"/>
    </row>
    <row r="36" spans="5:27" s="883" customFormat="1" x14ac:dyDescent="0.25"/>
    <row r="37" spans="5:27" s="867" customFormat="1" x14ac:dyDescent="0.25">
      <c r="E37" s="862"/>
      <c r="I37" s="862"/>
      <c r="J37" s="862"/>
      <c r="K37" s="862"/>
      <c r="O37" s="862"/>
    </row>
    <row r="38" spans="5:27" s="883" customFormat="1" x14ac:dyDescent="0.25">
      <c r="I38" s="884"/>
      <c r="J38" s="884"/>
    </row>
    <row r="39" spans="5:27" s="883" customFormat="1" x14ac:dyDescent="0.25">
      <c r="E39" s="884"/>
      <c r="F39" s="884"/>
    </row>
    <row r="40" spans="5:27" s="883" customFormat="1" x14ac:dyDescent="0.25"/>
    <row r="41" spans="5:27" s="883" customFormat="1" x14ac:dyDescent="0.25"/>
    <row r="42" spans="5:27" s="883" customFormat="1" x14ac:dyDescent="0.25"/>
  </sheetData>
  <mergeCells count="7">
    <mergeCell ref="U6:AA6"/>
    <mergeCell ref="A5:B7"/>
    <mergeCell ref="C5:S5"/>
    <mergeCell ref="C6:C7"/>
    <mergeCell ref="D6:G6"/>
    <mergeCell ref="H6:K6"/>
    <mergeCell ref="M6:S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F3569-5881-4C47-A6F9-FA79C49E5898}">
  <dimension ref="A1:AB28"/>
  <sheetViews>
    <sheetView showGridLines="0" zoomScaleNormal="100" workbookViewId="0">
      <selection activeCell="C8" sqref="C8:AA22"/>
    </sheetView>
  </sheetViews>
  <sheetFormatPr defaultColWidth="9.140625" defaultRowHeight="12.75" x14ac:dyDescent="0.25"/>
  <cols>
    <col min="1" max="1" width="11.85546875" style="684" bestFit="1" customWidth="1"/>
    <col min="2" max="2" width="90.28515625" style="684" bestFit="1" customWidth="1"/>
    <col min="3" max="3" width="20.140625" style="684" customWidth="1"/>
    <col min="4" max="4" width="17" style="684" customWidth="1"/>
    <col min="5" max="5" width="15" style="684" customWidth="1"/>
    <col min="6" max="6" width="17.140625" style="684" customWidth="1"/>
    <col min="7" max="7" width="15.140625" style="684" customWidth="1"/>
    <col min="8" max="8" width="11.7109375" style="684" customWidth="1"/>
    <col min="9" max="9" width="15" style="684" customWidth="1"/>
    <col min="10" max="10" width="14.85546875" style="684" customWidth="1"/>
    <col min="11" max="11" width="14.5703125" style="684" customWidth="1"/>
    <col min="12" max="12" width="13" style="684" customWidth="1"/>
    <col min="13" max="13" width="16.7109375" style="684" customWidth="1"/>
    <col min="14" max="14" width="19.28515625" style="684" customWidth="1"/>
    <col min="15" max="15" width="20.7109375" style="684" customWidth="1"/>
    <col min="16" max="16" width="20.140625" style="684" customWidth="1"/>
    <col min="17" max="17" width="18.85546875" style="684" customWidth="1"/>
    <col min="18" max="18" width="22.28515625" style="684" customWidth="1"/>
    <col min="19" max="19" width="18.85546875" style="684" customWidth="1"/>
    <col min="20" max="20" width="14.140625" style="684" customWidth="1"/>
    <col min="21" max="22" width="19.140625" style="684" customWidth="1"/>
    <col min="23" max="27" width="17.85546875" style="684" customWidth="1"/>
    <col min="28" max="28" width="12.140625" style="883" bestFit="1" customWidth="1"/>
    <col min="29" max="16384" width="9.140625" style="684"/>
  </cols>
  <sheetData>
    <row r="1" spans="1:28" ht="13.5" x14ac:dyDescent="0.25">
      <c r="A1" s="653" t="s">
        <v>41</v>
      </c>
      <c r="B1" s="24" t="str">
        <f>Info!C2</f>
        <v>სს სილქ ბანკი</v>
      </c>
    </row>
    <row r="2" spans="1:28" x14ac:dyDescent="0.25">
      <c r="A2" s="653" t="s">
        <v>42</v>
      </c>
      <c r="B2" s="655">
        <f>'1. key ratios'!B2</f>
        <v>45291</v>
      </c>
    </row>
    <row r="3" spans="1:28" x14ac:dyDescent="0.25">
      <c r="A3" s="656" t="s">
        <v>673</v>
      </c>
      <c r="C3" s="768"/>
    </row>
    <row r="4" spans="1:28" ht="40.5" customHeight="1" thickBot="1" x14ac:dyDescent="0.3">
      <c r="A4" s="656"/>
      <c r="B4" s="768"/>
      <c r="C4" s="768"/>
    </row>
    <row r="5" spans="1:28" ht="13.5" customHeight="1" x14ac:dyDescent="0.25">
      <c r="A5" s="769" t="s">
        <v>674</v>
      </c>
      <c r="B5" s="770"/>
      <c r="C5" s="771" t="s">
        <v>675</v>
      </c>
      <c r="D5" s="772"/>
      <c r="E5" s="772"/>
      <c r="F5" s="772"/>
      <c r="G5" s="772"/>
      <c r="H5" s="772"/>
      <c r="I5" s="772"/>
      <c r="J5" s="772"/>
      <c r="K5" s="772"/>
      <c r="L5" s="772"/>
      <c r="M5" s="772"/>
      <c r="N5" s="772"/>
      <c r="O5" s="772"/>
      <c r="P5" s="772"/>
      <c r="Q5" s="772"/>
      <c r="R5" s="772"/>
      <c r="S5" s="772"/>
      <c r="T5" s="772"/>
      <c r="U5" s="772"/>
      <c r="V5" s="772"/>
      <c r="W5" s="772"/>
      <c r="X5" s="772"/>
      <c r="Y5" s="772"/>
      <c r="Z5" s="772"/>
      <c r="AA5" s="773"/>
    </row>
    <row r="6" spans="1:28" ht="12" customHeight="1" x14ac:dyDescent="0.25">
      <c r="A6" s="774"/>
      <c r="B6" s="775"/>
      <c r="C6" s="776" t="s">
        <v>96</v>
      </c>
      <c r="D6" s="688" t="s">
        <v>654</v>
      </c>
      <c r="E6" s="688"/>
      <c r="F6" s="688"/>
      <c r="G6" s="688"/>
      <c r="H6" s="752" t="s">
        <v>655</v>
      </c>
      <c r="I6" s="753"/>
      <c r="J6" s="753"/>
      <c r="K6" s="753"/>
      <c r="L6" s="757"/>
      <c r="M6" s="711" t="s">
        <v>656</v>
      </c>
      <c r="N6" s="711"/>
      <c r="O6" s="711"/>
      <c r="P6" s="711"/>
      <c r="Q6" s="711"/>
      <c r="R6" s="711"/>
      <c r="S6" s="687"/>
      <c r="T6" s="757"/>
      <c r="U6" s="711" t="s">
        <v>657</v>
      </c>
      <c r="V6" s="711"/>
      <c r="W6" s="711"/>
      <c r="X6" s="711"/>
      <c r="Y6" s="711"/>
      <c r="Z6" s="711"/>
      <c r="AA6" s="777"/>
    </row>
    <row r="7" spans="1:28" ht="38.25" x14ac:dyDescent="0.25">
      <c r="A7" s="778"/>
      <c r="B7" s="779"/>
      <c r="C7" s="780"/>
      <c r="D7" s="761"/>
      <c r="E7" s="689" t="s">
        <v>658</v>
      </c>
      <c r="F7" s="689" t="s">
        <v>659</v>
      </c>
      <c r="G7" s="689" t="s">
        <v>660</v>
      </c>
      <c r="H7" s="761"/>
      <c r="I7" s="689" t="s">
        <v>658</v>
      </c>
      <c r="J7" s="689" t="s">
        <v>659</v>
      </c>
      <c r="K7" s="689" t="s">
        <v>660</v>
      </c>
      <c r="L7" s="764"/>
      <c r="M7" s="689" t="s">
        <v>658</v>
      </c>
      <c r="N7" s="689" t="s">
        <v>676</v>
      </c>
      <c r="O7" s="689" t="s">
        <v>677</v>
      </c>
      <c r="P7" s="689" t="s">
        <v>678</v>
      </c>
      <c r="Q7" s="689" t="s">
        <v>679</v>
      </c>
      <c r="R7" s="689" t="s">
        <v>680</v>
      </c>
      <c r="S7" s="689" t="s">
        <v>665</v>
      </c>
      <c r="T7" s="764"/>
      <c r="U7" s="689" t="s">
        <v>658</v>
      </c>
      <c r="V7" s="689" t="s">
        <v>676</v>
      </c>
      <c r="W7" s="689" t="s">
        <v>677</v>
      </c>
      <c r="X7" s="689" t="s">
        <v>678</v>
      </c>
      <c r="Y7" s="689" t="s">
        <v>679</v>
      </c>
      <c r="Z7" s="689" t="s">
        <v>680</v>
      </c>
      <c r="AA7" s="689" t="s">
        <v>665</v>
      </c>
    </row>
    <row r="8" spans="1:28" s="883" customFormat="1" x14ac:dyDescent="0.25">
      <c r="A8" s="891">
        <v>1</v>
      </c>
      <c r="B8" s="892" t="s">
        <v>624</v>
      </c>
      <c r="C8" s="893">
        <f>'22. Quality'!C8</f>
        <v>56782676.020095877</v>
      </c>
      <c r="D8" s="893">
        <f>'22. Quality'!D8</f>
        <v>55161091.714673392</v>
      </c>
      <c r="E8" s="893">
        <f>'22. Quality'!E8</f>
        <v>156402.45916079573</v>
      </c>
      <c r="F8" s="893">
        <f>'22. Quality'!F8</f>
        <v>0</v>
      </c>
      <c r="G8" s="893">
        <f>'22. Quality'!G8</f>
        <v>0</v>
      </c>
      <c r="H8" s="893">
        <f>'22. Quality'!H8</f>
        <v>381867.30333960027</v>
      </c>
      <c r="I8" s="893">
        <f>'22. Quality'!I8</f>
        <v>62</v>
      </c>
      <c r="J8" s="893">
        <f>'22. Quality'!J8</f>
        <v>270436.92333960027</v>
      </c>
      <c r="K8" s="893">
        <f>'22. Quality'!K8</f>
        <v>0</v>
      </c>
      <c r="L8" s="893">
        <f>'22. Quality'!L8</f>
        <v>1239717.0020828845</v>
      </c>
      <c r="M8" s="893">
        <f>'22. Quality'!M8</f>
        <v>0</v>
      </c>
      <c r="N8" s="893">
        <f>'22. Quality'!N8</f>
        <v>0</v>
      </c>
      <c r="O8" s="893">
        <f>'22. Quality'!O8</f>
        <v>214827.61208288459</v>
      </c>
      <c r="P8" s="893">
        <f>'22. Quality'!P8</f>
        <v>6147.16</v>
      </c>
      <c r="Q8" s="893">
        <f>'22. Quality'!Q8</f>
        <v>0</v>
      </c>
      <c r="R8" s="893">
        <f>'22. Quality'!R8</f>
        <v>832740.66</v>
      </c>
      <c r="S8" s="893">
        <f>'22. Quality'!S8</f>
        <v>0</v>
      </c>
      <c r="T8" s="872"/>
      <c r="U8" s="872"/>
      <c r="V8" s="872"/>
      <c r="W8" s="872"/>
      <c r="X8" s="872"/>
      <c r="Y8" s="872"/>
      <c r="Z8" s="872"/>
      <c r="AA8" s="894"/>
      <c r="AB8" s="862"/>
    </row>
    <row r="9" spans="1:28" s="883" customFormat="1" x14ac:dyDescent="0.25">
      <c r="A9" s="895">
        <v>1.1000000000000001</v>
      </c>
      <c r="B9" s="896" t="s">
        <v>681</v>
      </c>
      <c r="C9" s="897">
        <v>41726336.853113912</v>
      </c>
      <c r="D9" s="694">
        <v>40553286.074151143</v>
      </c>
      <c r="E9" s="694">
        <v>53523.496569343057</v>
      </c>
      <c r="F9" s="694">
        <v>0</v>
      </c>
      <c r="G9" s="694">
        <v>0</v>
      </c>
      <c r="H9" s="694">
        <v>202594.98896276741</v>
      </c>
      <c r="I9" s="694">
        <v>0</v>
      </c>
      <c r="J9" s="694">
        <v>202594.98896276741</v>
      </c>
      <c r="K9" s="694">
        <v>0</v>
      </c>
      <c r="L9" s="694">
        <v>970455.79</v>
      </c>
      <c r="M9" s="694">
        <v>0</v>
      </c>
      <c r="N9" s="694">
        <v>0</v>
      </c>
      <c r="O9" s="694">
        <v>66673.87</v>
      </c>
      <c r="P9" s="694">
        <v>0</v>
      </c>
      <c r="Q9" s="694">
        <v>0</v>
      </c>
      <c r="R9" s="694">
        <v>832740.66</v>
      </c>
      <c r="S9" s="694">
        <v>0</v>
      </c>
      <c r="T9" s="872"/>
      <c r="U9" s="872"/>
      <c r="V9" s="872"/>
      <c r="W9" s="872"/>
      <c r="X9" s="872"/>
      <c r="Y9" s="872"/>
      <c r="Z9" s="872"/>
      <c r="AA9" s="894"/>
      <c r="AB9" s="862"/>
    </row>
    <row r="10" spans="1:28" s="883" customFormat="1" x14ac:dyDescent="0.25">
      <c r="A10" s="898" t="s">
        <v>241</v>
      </c>
      <c r="B10" s="899" t="s">
        <v>682</v>
      </c>
      <c r="C10" s="900">
        <v>32727707.026820853</v>
      </c>
      <c r="D10" s="694">
        <v>31584517.916171495</v>
      </c>
      <c r="E10" s="694">
        <v>0</v>
      </c>
      <c r="F10" s="694">
        <v>0</v>
      </c>
      <c r="G10" s="694">
        <v>0</v>
      </c>
      <c r="H10" s="694">
        <v>172733.32064935064</v>
      </c>
      <c r="I10" s="694">
        <v>0</v>
      </c>
      <c r="J10" s="694">
        <v>172733.32064935064</v>
      </c>
      <c r="K10" s="694">
        <v>0</v>
      </c>
      <c r="L10" s="694">
        <v>970455.79</v>
      </c>
      <c r="M10" s="694">
        <v>0</v>
      </c>
      <c r="N10" s="694">
        <v>0</v>
      </c>
      <c r="O10" s="694">
        <v>66673.87</v>
      </c>
      <c r="P10" s="694">
        <v>0</v>
      </c>
      <c r="Q10" s="694">
        <v>0</v>
      </c>
      <c r="R10" s="694">
        <v>832740.66</v>
      </c>
      <c r="S10" s="694">
        <v>0</v>
      </c>
      <c r="T10" s="872"/>
      <c r="U10" s="872"/>
      <c r="V10" s="872"/>
      <c r="W10" s="872"/>
      <c r="X10" s="872"/>
      <c r="Y10" s="872"/>
      <c r="Z10" s="872"/>
      <c r="AA10" s="894"/>
      <c r="AB10" s="862"/>
    </row>
    <row r="11" spans="1:28" s="883" customFormat="1" x14ac:dyDescent="0.25">
      <c r="A11" s="901" t="s">
        <v>683</v>
      </c>
      <c r="B11" s="902" t="s">
        <v>684</v>
      </c>
      <c r="C11" s="903">
        <v>21197057.606045481</v>
      </c>
      <c r="D11" s="694">
        <v>20053868.495396122</v>
      </c>
      <c r="E11" s="694">
        <v>0</v>
      </c>
      <c r="F11" s="694">
        <v>0</v>
      </c>
      <c r="G11" s="694">
        <v>0</v>
      </c>
      <c r="H11" s="694">
        <v>172733.32064935064</v>
      </c>
      <c r="I11" s="694">
        <v>0</v>
      </c>
      <c r="J11" s="694">
        <v>172733.32064935064</v>
      </c>
      <c r="K11" s="694">
        <v>0</v>
      </c>
      <c r="L11" s="694">
        <v>970455.79</v>
      </c>
      <c r="M11" s="694">
        <v>0</v>
      </c>
      <c r="N11" s="694">
        <v>0</v>
      </c>
      <c r="O11" s="694">
        <v>66673.87</v>
      </c>
      <c r="P11" s="694">
        <v>0</v>
      </c>
      <c r="Q11" s="694">
        <v>0</v>
      </c>
      <c r="R11" s="694">
        <v>832740.66</v>
      </c>
      <c r="S11" s="694">
        <v>0</v>
      </c>
      <c r="T11" s="872"/>
      <c r="U11" s="872"/>
      <c r="V11" s="872"/>
      <c r="W11" s="872"/>
      <c r="X11" s="872"/>
      <c r="Y11" s="872"/>
      <c r="Z11" s="872"/>
      <c r="AA11" s="894"/>
      <c r="AB11" s="862"/>
    </row>
    <row r="12" spans="1:28" s="883" customFormat="1" x14ac:dyDescent="0.25">
      <c r="A12" s="901" t="s">
        <v>685</v>
      </c>
      <c r="B12" s="902" t="s">
        <v>686</v>
      </c>
      <c r="C12" s="903">
        <v>3159811.9148179255</v>
      </c>
      <c r="D12" s="694">
        <v>3159811.9148179255</v>
      </c>
      <c r="E12" s="694">
        <v>0</v>
      </c>
      <c r="F12" s="694">
        <v>0</v>
      </c>
      <c r="G12" s="694">
        <v>0</v>
      </c>
      <c r="H12" s="694">
        <v>0</v>
      </c>
      <c r="I12" s="694">
        <v>0</v>
      </c>
      <c r="J12" s="694">
        <v>0</v>
      </c>
      <c r="K12" s="694">
        <v>0</v>
      </c>
      <c r="L12" s="694">
        <v>0</v>
      </c>
      <c r="M12" s="694">
        <v>0</v>
      </c>
      <c r="N12" s="694">
        <v>0</v>
      </c>
      <c r="O12" s="694">
        <v>0</v>
      </c>
      <c r="P12" s="694">
        <v>0</v>
      </c>
      <c r="Q12" s="694">
        <v>0</v>
      </c>
      <c r="R12" s="694">
        <v>0</v>
      </c>
      <c r="S12" s="694">
        <v>0</v>
      </c>
      <c r="T12" s="872"/>
      <c r="U12" s="872"/>
      <c r="V12" s="872"/>
      <c r="W12" s="872"/>
      <c r="X12" s="872"/>
      <c r="Y12" s="872"/>
      <c r="Z12" s="872"/>
      <c r="AA12" s="894"/>
      <c r="AB12" s="862"/>
    </row>
    <row r="13" spans="1:28" s="883" customFormat="1" x14ac:dyDescent="0.25">
      <c r="A13" s="901" t="s">
        <v>687</v>
      </c>
      <c r="B13" s="902" t="s">
        <v>688</v>
      </c>
      <c r="C13" s="903">
        <v>4457667.3885718286</v>
      </c>
      <c r="D13" s="694">
        <v>4457667.3885718286</v>
      </c>
      <c r="E13" s="694">
        <v>0</v>
      </c>
      <c r="F13" s="694">
        <v>0</v>
      </c>
      <c r="G13" s="694">
        <v>0</v>
      </c>
      <c r="H13" s="694">
        <v>0</v>
      </c>
      <c r="I13" s="694">
        <v>0</v>
      </c>
      <c r="J13" s="694">
        <v>0</v>
      </c>
      <c r="K13" s="694">
        <v>0</v>
      </c>
      <c r="L13" s="694">
        <v>0</v>
      </c>
      <c r="M13" s="694">
        <v>0</v>
      </c>
      <c r="N13" s="694">
        <v>0</v>
      </c>
      <c r="O13" s="694">
        <v>0</v>
      </c>
      <c r="P13" s="694">
        <v>0</v>
      </c>
      <c r="Q13" s="694">
        <v>0</v>
      </c>
      <c r="R13" s="694">
        <v>0</v>
      </c>
      <c r="S13" s="694">
        <v>0</v>
      </c>
      <c r="T13" s="872"/>
      <c r="U13" s="872"/>
      <c r="V13" s="872"/>
      <c r="W13" s="872"/>
      <c r="X13" s="872"/>
      <c r="Y13" s="872"/>
      <c r="Z13" s="872"/>
      <c r="AA13" s="894"/>
      <c r="AB13" s="862"/>
    </row>
    <row r="14" spans="1:28" s="883" customFormat="1" x14ac:dyDescent="0.25">
      <c r="A14" s="901" t="s">
        <v>689</v>
      </c>
      <c r="B14" s="902" t="s">
        <v>690</v>
      </c>
      <c r="C14" s="903">
        <v>3913170.1173856212</v>
      </c>
      <c r="D14" s="694">
        <v>3913170.1173856212</v>
      </c>
      <c r="E14" s="694">
        <v>0</v>
      </c>
      <c r="F14" s="694">
        <v>0</v>
      </c>
      <c r="G14" s="694">
        <v>0</v>
      </c>
      <c r="H14" s="694">
        <v>0</v>
      </c>
      <c r="I14" s="694">
        <v>0</v>
      </c>
      <c r="J14" s="694">
        <v>0</v>
      </c>
      <c r="K14" s="694">
        <v>0</v>
      </c>
      <c r="L14" s="694">
        <v>0</v>
      </c>
      <c r="M14" s="694">
        <v>0</v>
      </c>
      <c r="N14" s="694">
        <v>0</v>
      </c>
      <c r="O14" s="694">
        <v>0</v>
      </c>
      <c r="P14" s="694">
        <v>0</v>
      </c>
      <c r="Q14" s="694">
        <v>0</v>
      </c>
      <c r="R14" s="694">
        <v>0</v>
      </c>
      <c r="S14" s="694">
        <v>0</v>
      </c>
      <c r="T14" s="872"/>
      <c r="U14" s="872"/>
      <c r="V14" s="872"/>
      <c r="W14" s="872"/>
      <c r="X14" s="872"/>
      <c r="Y14" s="872"/>
      <c r="Z14" s="872"/>
      <c r="AA14" s="894"/>
      <c r="AB14" s="862"/>
    </row>
    <row r="15" spans="1:28" s="883" customFormat="1" x14ac:dyDescent="0.25">
      <c r="A15" s="904">
        <v>1.2</v>
      </c>
      <c r="B15" s="905" t="s">
        <v>691</v>
      </c>
      <c r="C15" s="906">
        <v>1252273.4749504381</v>
      </c>
      <c r="D15" s="694">
        <v>632858.41031954833</v>
      </c>
      <c r="E15" s="694">
        <v>5817.5804443227762</v>
      </c>
      <c r="F15" s="694">
        <v>0</v>
      </c>
      <c r="G15" s="694">
        <v>0</v>
      </c>
      <c r="H15" s="694">
        <v>50367.57886106598</v>
      </c>
      <c r="I15" s="694">
        <v>0</v>
      </c>
      <c r="J15" s="694">
        <v>50367.57886106598</v>
      </c>
      <c r="K15" s="694">
        <v>0</v>
      </c>
      <c r="L15" s="694">
        <v>569047.48576982541</v>
      </c>
      <c r="M15" s="694">
        <v>0</v>
      </c>
      <c r="N15" s="694">
        <v>0</v>
      </c>
      <c r="O15" s="694">
        <v>42161.443548840376</v>
      </c>
      <c r="P15" s="694">
        <v>0</v>
      </c>
      <c r="Q15" s="694">
        <v>0</v>
      </c>
      <c r="R15" s="694">
        <v>488309.22482006246</v>
      </c>
      <c r="S15" s="694">
        <v>0</v>
      </c>
      <c r="T15" s="872"/>
      <c r="U15" s="872"/>
      <c r="V15" s="872"/>
      <c r="W15" s="872"/>
      <c r="X15" s="872"/>
      <c r="Y15" s="872"/>
      <c r="Z15" s="872"/>
      <c r="AA15" s="894"/>
      <c r="AB15" s="862"/>
    </row>
    <row r="16" spans="1:28" s="883" customFormat="1" x14ac:dyDescent="0.25">
      <c r="A16" s="895">
        <v>1.3</v>
      </c>
      <c r="B16" s="905" t="s">
        <v>692</v>
      </c>
      <c r="C16" s="907">
        <f>C17+C19</f>
        <v>659629598.78243458</v>
      </c>
      <c r="D16" s="907">
        <f t="shared" ref="D16:S16" si="0">D17+D19</f>
        <v>650431850.78243458</v>
      </c>
      <c r="E16" s="907">
        <f t="shared" si="0"/>
        <v>67772.87999999999</v>
      </c>
      <c r="F16" s="907">
        <f t="shared" si="0"/>
        <v>0</v>
      </c>
      <c r="G16" s="907">
        <f t="shared" si="0"/>
        <v>0</v>
      </c>
      <c r="H16" s="907">
        <f t="shared" si="0"/>
        <v>295834</v>
      </c>
      <c r="I16" s="907">
        <f t="shared" si="0"/>
        <v>0</v>
      </c>
      <c r="J16" s="907">
        <f t="shared" si="0"/>
        <v>295834</v>
      </c>
      <c r="K16" s="907">
        <f t="shared" si="0"/>
        <v>0</v>
      </c>
      <c r="L16" s="907">
        <f t="shared" si="0"/>
        <v>8901914</v>
      </c>
      <c r="M16" s="907">
        <f t="shared" si="0"/>
        <v>0</v>
      </c>
      <c r="N16" s="907">
        <f t="shared" si="0"/>
        <v>0</v>
      </c>
      <c r="O16" s="907">
        <f t="shared" si="0"/>
        <v>5809104</v>
      </c>
      <c r="P16" s="907">
        <f t="shared" si="0"/>
        <v>0</v>
      </c>
      <c r="Q16" s="907">
        <f t="shared" si="0"/>
        <v>0</v>
      </c>
      <c r="R16" s="907">
        <f t="shared" si="0"/>
        <v>2977165.8</v>
      </c>
      <c r="S16" s="907">
        <f t="shared" si="0"/>
        <v>0</v>
      </c>
      <c r="T16" s="872"/>
      <c r="U16" s="872"/>
      <c r="V16" s="872"/>
      <c r="W16" s="872"/>
      <c r="X16" s="872"/>
      <c r="Y16" s="872"/>
      <c r="Z16" s="872"/>
      <c r="AA16" s="894"/>
      <c r="AB16" s="862"/>
    </row>
    <row r="17" spans="1:28" s="883" customFormat="1" ht="25.5" x14ac:dyDescent="0.25">
      <c r="A17" s="908" t="s">
        <v>693</v>
      </c>
      <c r="B17" s="909" t="s">
        <v>694</v>
      </c>
      <c r="C17" s="910">
        <f>D17+H17+L17</f>
        <v>41716623.908886217</v>
      </c>
      <c r="D17" s="694">
        <v>40543573.129923448</v>
      </c>
      <c r="E17" s="694">
        <v>53523.496569343057</v>
      </c>
      <c r="F17" s="694">
        <v>0</v>
      </c>
      <c r="G17" s="694">
        <v>0</v>
      </c>
      <c r="H17" s="694">
        <v>202594.98896276741</v>
      </c>
      <c r="I17" s="694">
        <v>0</v>
      </c>
      <c r="J17" s="694">
        <v>202594.98896276741</v>
      </c>
      <c r="K17" s="694">
        <v>0</v>
      </c>
      <c r="L17" s="694">
        <v>970455.79</v>
      </c>
      <c r="M17" s="694">
        <v>0</v>
      </c>
      <c r="N17" s="694">
        <v>0</v>
      </c>
      <c r="O17" s="694">
        <v>66673.87</v>
      </c>
      <c r="P17" s="694">
        <v>0</v>
      </c>
      <c r="Q17" s="694">
        <v>0</v>
      </c>
      <c r="R17" s="694">
        <v>832740.66</v>
      </c>
      <c r="S17" s="694">
        <v>0</v>
      </c>
      <c r="T17" s="872"/>
      <c r="U17" s="872"/>
      <c r="V17" s="872"/>
      <c r="W17" s="872"/>
      <c r="X17" s="872"/>
      <c r="Y17" s="872"/>
      <c r="Z17" s="872"/>
      <c r="AA17" s="894"/>
      <c r="AB17" s="862"/>
    </row>
    <row r="18" spans="1:28" s="883" customFormat="1" ht="25.5" x14ac:dyDescent="0.25">
      <c r="A18" s="911" t="s">
        <v>695</v>
      </c>
      <c r="B18" s="912" t="s">
        <v>696</v>
      </c>
      <c r="C18" s="910">
        <f>D18+H18+L18</f>
        <v>32080898.850470208</v>
      </c>
      <c r="D18" s="694">
        <v>30937709.739820857</v>
      </c>
      <c r="E18" s="694">
        <v>0</v>
      </c>
      <c r="F18" s="694">
        <v>0</v>
      </c>
      <c r="G18" s="694">
        <v>0</v>
      </c>
      <c r="H18" s="694">
        <v>172733.32064935064</v>
      </c>
      <c r="I18" s="694">
        <v>0</v>
      </c>
      <c r="J18" s="694">
        <v>172733.32064935064</v>
      </c>
      <c r="K18" s="694">
        <v>0</v>
      </c>
      <c r="L18" s="694">
        <v>970455.79</v>
      </c>
      <c r="M18" s="694">
        <v>0</v>
      </c>
      <c r="N18" s="694">
        <v>0</v>
      </c>
      <c r="O18" s="694">
        <v>66673.87</v>
      </c>
      <c r="P18" s="694">
        <v>0</v>
      </c>
      <c r="Q18" s="694">
        <v>0</v>
      </c>
      <c r="R18" s="694">
        <v>832740.66</v>
      </c>
      <c r="S18" s="694">
        <v>0</v>
      </c>
      <c r="T18" s="872"/>
      <c r="U18" s="872"/>
      <c r="V18" s="872"/>
      <c r="W18" s="872"/>
      <c r="X18" s="872"/>
      <c r="Y18" s="872"/>
      <c r="Z18" s="872"/>
      <c r="AA18" s="894"/>
      <c r="AB18" s="862"/>
    </row>
    <row r="19" spans="1:28" x14ac:dyDescent="0.25">
      <c r="A19" s="781" t="s">
        <v>697</v>
      </c>
      <c r="B19" s="785" t="s">
        <v>698</v>
      </c>
      <c r="C19" s="782">
        <f>D19+H19+L19</f>
        <v>617912974.87354839</v>
      </c>
      <c r="D19" s="693">
        <v>609888277.65251112</v>
      </c>
      <c r="E19" s="693">
        <v>14249.383430656933</v>
      </c>
      <c r="F19" s="693">
        <v>0</v>
      </c>
      <c r="G19" s="693">
        <v>0</v>
      </c>
      <c r="H19" s="693">
        <v>93239.011037232602</v>
      </c>
      <c r="I19" s="693">
        <v>0</v>
      </c>
      <c r="J19" s="693">
        <v>93239.011037232602</v>
      </c>
      <c r="K19" s="693">
        <v>0</v>
      </c>
      <c r="L19" s="693">
        <v>7931458.209999999</v>
      </c>
      <c r="M19" s="693">
        <v>0</v>
      </c>
      <c r="N19" s="693">
        <v>0</v>
      </c>
      <c r="O19" s="693">
        <v>5742430.1299999999</v>
      </c>
      <c r="P19" s="693">
        <v>0</v>
      </c>
      <c r="Q19" s="693">
        <v>0</v>
      </c>
      <c r="R19" s="693">
        <v>2144425.1399999997</v>
      </c>
      <c r="S19" s="693">
        <v>0</v>
      </c>
      <c r="T19" s="695"/>
      <c r="U19" s="695"/>
      <c r="V19" s="695"/>
      <c r="W19" s="695"/>
      <c r="X19" s="695"/>
      <c r="Y19" s="695"/>
      <c r="Z19" s="695"/>
      <c r="AA19" s="783"/>
      <c r="AB19" s="862"/>
    </row>
    <row r="20" spans="1:28" x14ac:dyDescent="0.25">
      <c r="A20" s="784" t="s">
        <v>699</v>
      </c>
      <c r="B20" s="786" t="s">
        <v>700</v>
      </c>
      <c r="C20" s="782">
        <f>D20+H20+L20</f>
        <v>29171457.670625683</v>
      </c>
      <c r="D20" s="693">
        <v>26527971.581275031</v>
      </c>
      <c r="E20" s="693">
        <v>0</v>
      </c>
      <c r="F20" s="693">
        <v>0</v>
      </c>
      <c r="G20" s="693">
        <v>0</v>
      </c>
      <c r="H20" s="693">
        <v>90827.879350649368</v>
      </c>
      <c r="I20" s="693">
        <v>0</v>
      </c>
      <c r="J20" s="693">
        <v>90827.879350649368</v>
      </c>
      <c r="K20" s="693">
        <v>0</v>
      </c>
      <c r="L20" s="693">
        <v>2552658.2099999995</v>
      </c>
      <c r="M20" s="693">
        <v>0</v>
      </c>
      <c r="N20" s="693">
        <v>0</v>
      </c>
      <c r="O20" s="693">
        <v>363630.13</v>
      </c>
      <c r="P20" s="693">
        <v>0</v>
      </c>
      <c r="Q20" s="693">
        <v>0</v>
      </c>
      <c r="R20" s="693">
        <v>2144425.1399999997</v>
      </c>
      <c r="S20" s="693">
        <v>0</v>
      </c>
      <c r="T20" s="695"/>
      <c r="U20" s="695"/>
      <c r="V20" s="695"/>
      <c r="W20" s="695"/>
      <c r="X20" s="695"/>
      <c r="Y20" s="695"/>
      <c r="Z20" s="695"/>
      <c r="AA20" s="783"/>
      <c r="AB20" s="862"/>
    </row>
    <row r="21" spans="1:28" x14ac:dyDescent="0.25">
      <c r="A21" s="787">
        <v>1.4</v>
      </c>
      <c r="B21" s="788" t="s">
        <v>701</v>
      </c>
      <c r="C21" s="789"/>
      <c r="D21" s="693"/>
      <c r="E21" s="693"/>
      <c r="F21" s="693"/>
      <c r="G21" s="693"/>
      <c r="H21" s="693"/>
      <c r="I21" s="693"/>
      <c r="J21" s="693"/>
      <c r="K21" s="693"/>
      <c r="L21" s="693"/>
      <c r="M21" s="693"/>
      <c r="N21" s="693"/>
      <c r="O21" s="693"/>
      <c r="P21" s="693"/>
      <c r="Q21" s="693"/>
      <c r="R21" s="693"/>
      <c r="S21" s="693"/>
      <c r="T21" s="695"/>
      <c r="U21" s="695"/>
      <c r="V21" s="695"/>
      <c r="W21" s="695"/>
      <c r="X21" s="695"/>
      <c r="Y21" s="695"/>
      <c r="Z21" s="695"/>
      <c r="AA21" s="783"/>
      <c r="AB21" s="862"/>
    </row>
    <row r="22" spans="1:28" ht="13.5" thickBot="1" x14ac:dyDescent="0.3">
      <c r="A22" s="790">
        <v>1.5</v>
      </c>
      <c r="B22" s="791" t="s">
        <v>702</v>
      </c>
      <c r="C22" s="792"/>
      <c r="D22" s="793"/>
      <c r="E22" s="793"/>
      <c r="F22" s="793"/>
      <c r="G22" s="793"/>
      <c r="H22" s="793"/>
      <c r="I22" s="793"/>
      <c r="J22" s="793"/>
      <c r="K22" s="793"/>
      <c r="L22" s="793"/>
      <c r="M22" s="793"/>
      <c r="N22" s="793"/>
      <c r="O22" s="793"/>
      <c r="P22" s="793"/>
      <c r="Q22" s="793"/>
      <c r="R22" s="793"/>
      <c r="S22" s="793"/>
      <c r="T22" s="794"/>
      <c r="U22" s="794"/>
      <c r="V22" s="794"/>
      <c r="W22" s="794"/>
      <c r="X22" s="794"/>
      <c r="Y22" s="794"/>
      <c r="Z22" s="794"/>
      <c r="AA22" s="795"/>
      <c r="AB22" s="862"/>
    </row>
    <row r="24" spans="1:28" s="883" customFormat="1" x14ac:dyDescent="0.25"/>
    <row r="25" spans="1:28" s="867" customFormat="1" x14ac:dyDescent="0.25">
      <c r="C25" s="862"/>
      <c r="D25" s="862"/>
      <c r="E25" s="862"/>
      <c r="H25" s="862"/>
      <c r="I25" s="862"/>
      <c r="J25" s="862"/>
      <c r="L25" s="862"/>
      <c r="O25" s="862"/>
      <c r="P25" s="862"/>
      <c r="Q25" s="862"/>
      <c r="R25" s="862"/>
    </row>
    <row r="26" spans="1:28" s="883" customFormat="1" x14ac:dyDescent="0.25"/>
    <row r="27" spans="1:28" s="883" customFormat="1" x14ac:dyDescent="0.25"/>
    <row r="28" spans="1:28" s="883" customFormat="1" x14ac:dyDescent="0.25">
      <c r="C28" s="884"/>
    </row>
  </sheetData>
  <mergeCells count="7">
    <mergeCell ref="A5:B7"/>
    <mergeCell ref="C5:AA5"/>
    <mergeCell ref="C6:C7"/>
    <mergeCell ref="D6:G6"/>
    <mergeCell ref="H6:K6"/>
    <mergeCell ref="M6:S6"/>
    <mergeCell ref="U6:AA6"/>
  </mergeCells>
  <conditionalFormatting sqref="A5">
    <cfRule type="duplicateValues" dxfId="8" priority="1"/>
    <cfRule type="duplicateValues" dxfId="7" priority="2"/>
    <cfRule type="duplicateValues" dxfId="6" priority="3"/>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073E9-5646-4F99-946D-4E617C716E5E}">
  <dimension ref="A1:L33"/>
  <sheetViews>
    <sheetView showGridLines="0" topLeftCell="C1" zoomScaleNormal="100" workbookViewId="0">
      <selection activeCell="C7" sqref="C7:L33"/>
    </sheetView>
  </sheetViews>
  <sheetFormatPr defaultColWidth="9.140625" defaultRowHeight="12.75" x14ac:dyDescent="0.25"/>
  <cols>
    <col min="1" max="1" width="11.85546875" style="684" bestFit="1" customWidth="1"/>
    <col min="2" max="2" width="93.42578125" style="684" customWidth="1"/>
    <col min="3" max="3" width="14.5703125" style="684" customWidth="1"/>
    <col min="4" max="5" width="16.140625" style="684" customWidth="1"/>
    <col min="6" max="6" width="16.140625" style="741" customWidth="1"/>
    <col min="7" max="7" width="20.7109375" style="741" customWidth="1"/>
    <col min="8" max="8" width="16.140625" style="684" customWidth="1"/>
    <col min="9" max="11" width="16.140625" style="741" customWidth="1"/>
    <col min="12" max="12" width="21" style="741" customWidth="1"/>
    <col min="13" max="16384" width="9.140625" style="684"/>
  </cols>
  <sheetData>
    <row r="1" spans="1:12" ht="13.5" x14ac:dyDescent="0.25">
      <c r="A1" s="653" t="s">
        <v>41</v>
      </c>
      <c r="B1" s="24" t="str">
        <f>Info!C2</f>
        <v>სს სილქ ბანკი</v>
      </c>
      <c r="F1" s="684"/>
      <c r="G1" s="684"/>
      <c r="I1" s="684"/>
      <c r="J1" s="684"/>
      <c r="K1" s="684"/>
      <c r="L1" s="684"/>
    </row>
    <row r="2" spans="1:12" x14ac:dyDescent="0.25">
      <c r="A2" s="653" t="s">
        <v>42</v>
      </c>
      <c r="B2" s="655">
        <f>'1. key ratios'!B2</f>
        <v>45291</v>
      </c>
      <c r="F2" s="684"/>
      <c r="G2" s="684"/>
      <c r="I2" s="684"/>
      <c r="J2" s="684"/>
      <c r="K2" s="684"/>
      <c r="L2" s="684"/>
    </row>
    <row r="3" spans="1:12" x14ac:dyDescent="0.25">
      <c r="A3" s="656" t="s">
        <v>703</v>
      </c>
      <c r="F3" s="684"/>
      <c r="G3" s="684"/>
      <c r="I3" s="684"/>
      <c r="J3" s="684"/>
      <c r="K3" s="684"/>
      <c r="L3" s="684"/>
    </row>
    <row r="4" spans="1:12" ht="40.5" customHeight="1" x14ac:dyDescent="0.25">
      <c r="F4" s="684"/>
      <c r="G4" s="684"/>
      <c r="I4" s="684"/>
      <c r="J4" s="684"/>
      <c r="K4" s="684"/>
      <c r="L4" s="684"/>
    </row>
    <row r="5" spans="1:12" ht="37.5" customHeight="1" x14ac:dyDescent="0.25">
      <c r="A5" s="657" t="s">
        <v>704</v>
      </c>
      <c r="B5" s="658"/>
      <c r="C5" s="796" t="s">
        <v>582</v>
      </c>
      <c r="D5" s="797"/>
      <c r="E5" s="797"/>
      <c r="F5" s="797"/>
      <c r="G5" s="797"/>
      <c r="H5" s="796" t="s">
        <v>705</v>
      </c>
      <c r="I5" s="798"/>
      <c r="J5" s="798"/>
      <c r="K5" s="798"/>
      <c r="L5" s="799"/>
    </row>
    <row r="6" spans="1:12" ht="39.6" customHeight="1" x14ac:dyDescent="0.25">
      <c r="A6" s="667"/>
      <c r="B6" s="668"/>
      <c r="C6" s="800"/>
      <c r="D6" s="690" t="s">
        <v>654</v>
      </c>
      <c r="E6" s="690" t="s">
        <v>655</v>
      </c>
      <c r="F6" s="690" t="s">
        <v>656</v>
      </c>
      <c r="G6" s="690" t="s">
        <v>657</v>
      </c>
      <c r="H6" s="764"/>
      <c r="I6" s="690" t="s">
        <v>654</v>
      </c>
      <c r="J6" s="690" t="s">
        <v>655</v>
      </c>
      <c r="K6" s="690" t="s">
        <v>656</v>
      </c>
      <c r="L6" s="690" t="s">
        <v>657</v>
      </c>
    </row>
    <row r="7" spans="1:12" x14ac:dyDescent="0.25">
      <c r="A7" s="695">
        <v>1</v>
      </c>
      <c r="B7" s="713" t="s">
        <v>595</v>
      </c>
      <c r="C7" s="801">
        <v>1403827.6686027867</v>
      </c>
      <c r="D7" s="693">
        <v>1382260.8314495019</v>
      </c>
      <c r="E7" s="693">
        <v>8320.31</v>
      </c>
      <c r="F7" s="693">
        <v>13246.527153284671</v>
      </c>
      <c r="G7" s="693">
        <v>0</v>
      </c>
      <c r="H7" s="693">
        <v>38899.214368090135</v>
      </c>
      <c r="I7" s="693">
        <v>30504.809559717658</v>
      </c>
      <c r="J7" s="693">
        <v>1201.277051508011</v>
      </c>
      <c r="K7" s="693">
        <v>7193.1277568644646</v>
      </c>
      <c r="L7" s="693">
        <v>0</v>
      </c>
    </row>
    <row r="8" spans="1:12" x14ac:dyDescent="0.25">
      <c r="A8" s="695">
        <v>2</v>
      </c>
      <c r="B8" s="713" t="s">
        <v>596</v>
      </c>
      <c r="C8" s="801">
        <v>3965016.8494028584</v>
      </c>
      <c r="D8" s="693">
        <v>3965016.8494028584</v>
      </c>
      <c r="E8" s="693">
        <v>0</v>
      </c>
      <c r="F8" s="693">
        <v>0</v>
      </c>
      <c r="G8" s="693">
        <v>0</v>
      </c>
      <c r="H8" s="693">
        <v>38834.10866373992</v>
      </c>
      <c r="I8" s="693">
        <v>38834.10866373992</v>
      </c>
      <c r="J8" s="693">
        <v>0</v>
      </c>
      <c r="K8" s="693">
        <v>0</v>
      </c>
      <c r="L8" s="693">
        <v>0</v>
      </c>
    </row>
    <row r="9" spans="1:12" x14ac:dyDescent="0.25">
      <c r="A9" s="695">
        <v>3</v>
      </c>
      <c r="B9" s="713" t="s">
        <v>597</v>
      </c>
      <c r="C9" s="801">
        <v>0</v>
      </c>
      <c r="D9" s="693">
        <v>0</v>
      </c>
      <c r="E9" s="693">
        <v>0</v>
      </c>
      <c r="F9" s="693">
        <v>0</v>
      </c>
      <c r="G9" s="693">
        <v>0</v>
      </c>
      <c r="H9" s="693">
        <v>0</v>
      </c>
      <c r="I9" s="693">
        <v>0</v>
      </c>
      <c r="J9" s="693">
        <v>0</v>
      </c>
      <c r="K9" s="693">
        <v>0</v>
      </c>
      <c r="L9" s="693">
        <v>0</v>
      </c>
    </row>
    <row r="10" spans="1:12" x14ac:dyDescent="0.25">
      <c r="A10" s="695">
        <v>4</v>
      </c>
      <c r="B10" s="713" t="s">
        <v>598</v>
      </c>
      <c r="C10" s="801">
        <v>7845749.2230041483</v>
      </c>
      <c r="D10" s="693">
        <v>7845749.2230041483</v>
      </c>
      <c r="E10" s="693">
        <v>0</v>
      </c>
      <c r="F10" s="693">
        <v>0</v>
      </c>
      <c r="G10" s="693">
        <v>0</v>
      </c>
      <c r="H10" s="693">
        <v>97959.863683303003</v>
      </c>
      <c r="I10" s="693">
        <v>97959.863683303003</v>
      </c>
      <c r="J10" s="693">
        <v>0</v>
      </c>
      <c r="K10" s="693">
        <v>0</v>
      </c>
      <c r="L10" s="693">
        <v>0</v>
      </c>
    </row>
    <row r="11" spans="1:12" x14ac:dyDescent="0.25">
      <c r="A11" s="695">
        <v>5</v>
      </c>
      <c r="B11" s="713" t="s">
        <v>600</v>
      </c>
      <c r="C11" s="801">
        <v>9118426.0314003136</v>
      </c>
      <c r="D11" s="693">
        <v>9118426.0314003136</v>
      </c>
      <c r="E11" s="693">
        <v>0</v>
      </c>
      <c r="F11" s="693">
        <v>0</v>
      </c>
      <c r="G11" s="693">
        <v>0</v>
      </c>
      <c r="H11" s="693">
        <v>135679.77900743156</v>
      </c>
      <c r="I11" s="693">
        <v>135679.77900743156</v>
      </c>
      <c r="J11" s="693">
        <v>0</v>
      </c>
      <c r="K11" s="693">
        <v>0</v>
      </c>
      <c r="L11" s="693">
        <v>0</v>
      </c>
    </row>
    <row r="12" spans="1:12" x14ac:dyDescent="0.25">
      <c r="A12" s="695">
        <v>6</v>
      </c>
      <c r="B12" s="713" t="s">
        <v>601</v>
      </c>
      <c r="C12" s="801">
        <v>587018.57784568076</v>
      </c>
      <c r="D12" s="693">
        <v>541958.74784568069</v>
      </c>
      <c r="E12" s="693">
        <v>0</v>
      </c>
      <c r="F12" s="693">
        <v>45059.83</v>
      </c>
      <c r="G12" s="693">
        <v>0</v>
      </c>
      <c r="H12" s="693">
        <v>74048.084651225887</v>
      </c>
      <c r="I12" s="693">
        <v>49579.700587843407</v>
      </c>
      <c r="J12" s="693">
        <v>0</v>
      </c>
      <c r="K12" s="693">
        <v>24468.384063382495</v>
      </c>
      <c r="L12" s="693">
        <v>0</v>
      </c>
    </row>
    <row r="13" spans="1:12" x14ac:dyDescent="0.25">
      <c r="A13" s="695">
        <v>7</v>
      </c>
      <c r="B13" s="713" t="s">
        <v>603</v>
      </c>
      <c r="C13" s="801">
        <v>1293856.0331801462</v>
      </c>
      <c r="D13" s="693">
        <v>1293579.9231801461</v>
      </c>
      <c r="E13" s="693">
        <v>0</v>
      </c>
      <c r="F13" s="693">
        <v>276.11</v>
      </c>
      <c r="G13" s="693">
        <v>0</v>
      </c>
      <c r="H13" s="693">
        <v>13008.945235706182</v>
      </c>
      <c r="I13" s="693">
        <v>12859.012013061078</v>
      </c>
      <c r="J13" s="693">
        <v>0</v>
      </c>
      <c r="K13" s="693">
        <v>149.93322264510408</v>
      </c>
      <c r="L13" s="693">
        <v>0</v>
      </c>
    </row>
    <row r="14" spans="1:12" x14ac:dyDescent="0.25">
      <c r="A14" s="695">
        <v>8</v>
      </c>
      <c r="B14" s="713" t="s">
        <v>604</v>
      </c>
      <c r="C14" s="801">
        <v>305533.77466935333</v>
      </c>
      <c r="D14" s="693">
        <v>238469.71466935339</v>
      </c>
      <c r="E14" s="693">
        <v>0</v>
      </c>
      <c r="F14" s="693">
        <v>67064.06</v>
      </c>
      <c r="G14" s="693">
        <v>0</v>
      </c>
      <c r="H14" s="693">
        <v>47082.410780256541</v>
      </c>
      <c r="I14" s="693">
        <v>4709.0862993822038</v>
      </c>
      <c r="J14" s="693">
        <v>0</v>
      </c>
      <c r="K14" s="693">
        <v>42373.324480874326</v>
      </c>
      <c r="L14" s="693">
        <v>0</v>
      </c>
    </row>
    <row r="15" spans="1:12" x14ac:dyDescent="0.25">
      <c r="A15" s="695">
        <v>9</v>
      </c>
      <c r="B15" s="713" t="s">
        <v>605</v>
      </c>
      <c r="C15" s="801">
        <v>11371.089781021896</v>
      </c>
      <c r="D15" s="693">
        <v>998.18000000000006</v>
      </c>
      <c r="E15" s="693">
        <v>0</v>
      </c>
      <c r="F15" s="693">
        <v>10372.909781021897</v>
      </c>
      <c r="G15" s="693">
        <v>0</v>
      </c>
      <c r="H15" s="693">
        <v>10390.488527248532</v>
      </c>
      <c r="I15" s="693">
        <v>17.578746226634781</v>
      </c>
      <c r="J15" s="693">
        <v>0</v>
      </c>
      <c r="K15" s="693">
        <v>10372.909781021897</v>
      </c>
      <c r="L15" s="693">
        <v>0</v>
      </c>
    </row>
    <row r="16" spans="1:12" x14ac:dyDescent="0.25">
      <c r="A16" s="695">
        <v>10</v>
      </c>
      <c r="B16" s="713" t="s">
        <v>606</v>
      </c>
      <c r="C16" s="801">
        <v>43392.391315805289</v>
      </c>
      <c r="D16" s="693">
        <v>43392.391315805289</v>
      </c>
      <c r="E16" s="693">
        <v>0</v>
      </c>
      <c r="F16" s="693">
        <v>0</v>
      </c>
      <c r="G16" s="693">
        <v>0</v>
      </c>
      <c r="H16" s="693">
        <v>1036.5397180994712</v>
      </c>
      <c r="I16" s="693">
        <v>1036.5397180994712</v>
      </c>
      <c r="J16" s="693">
        <v>0</v>
      </c>
      <c r="K16" s="693">
        <v>0</v>
      </c>
      <c r="L16" s="693">
        <v>0</v>
      </c>
    </row>
    <row r="17" spans="1:12" x14ac:dyDescent="0.25">
      <c r="A17" s="695">
        <v>11</v>
      </c>
      <c r="B17" s="713" t="s">
        <v>607</v>
      </c>
      <c r="C17" s="801">
        <v>15681.847372262775</v>
      </c>
      <c r="D17" s="693">
        <v>15681.847372262775</v>
      </c>
      <c r="E17" s="693">
        <v>0</v>
      </c>
      <c r="F17" s="693">
        <v>0</v>
      </c>
      <c r="G17" s="693">
        <v>0</v>
      </c>
      <c r="H17" s="693">
        <v>412.07271914101733</v>
      </c>
      <c r="I17" s="693">
        <v>412.07271914101733</v>
      </c>
      <c r="J17" s="693">
        <v>0</v>
      </c>
      <c r="K17" s="693">
        <v>0</v>
      </c>
      <c r="L17" s="693">
        <v>0</v>
      </c>
    </row>
    <row r="18" spans="1:12" x14ac:dyDescent="0.25">
      <c r="A18" s="695">
        <v>12</v>
      </c>
      <c r="B18" s="713" t="s">
        <v>608</v>
      </c>
      <c r="C18" s="801">
        <v>2890024.390097986</v>
      </c>
      <c r="D18" s="693">
        <v>2865519.9873972563</v>
      </c>
      <c r="E18" s="693">
        <v>24504.402700729926</v>
      </c>
      <c r="F18" s="693">
        <v>0</v>
      </c>
      <c r="G18" s="693">
        <v>0</v>
      </c>
      <c r="H18" s="693">
        <v>55842.602998794602</v>
      </c>
      <c r="I18" s="693">
        <v>46285.200045743964</v>
      </c>
      <c r="J18" s="693">
        <v>9557.4029530506359</v>
      </c>
      <c r="K18" s="693">
        <v>0</v>
      </c>
      <c r="L18" s="693">
        <v>0</v>
      </c>
    </row>
    <row r="19" spans="1:12" x14ac:dyDescent="0.25">
      <c r="A19" s="695">
        <v>13</v>
      </c>
      <c r="B19" s="713" t="s">
        <v>609</v>
      </c>
      <c r="C19" s="801">
        <v>129125.46846847724</v>
      </c>
      <c r="D19" s="693">
        <v>128877.44846847723</v>
      </c>
      <c r="E19" s="693">
        <v>70.25</v>
      </c>
      <c r="F19" s="693">
        <v>177.77</v>
      </c>
      <c r="G19" s="693">
        <v>0</v>
      </c>
      <c r="H19" s="693">
        <v>2774.4046719239932</v>
      </c>
      <c r="I19" s="693">
        <v>2650.7872503646781</v>
      </c>
      <c r="J19" s="693">
        <v>27.084775187868306</v>
      </c>
      <c r="K19" s="693">
        <v>96.532646371446717</v>
      </c>
      <c r="L19" s="693">
        <v>0</v>
      </c>
    </row>
    <row r="20" spans="1:12" x14ac:dyDescent="0.25">
      <c r="A20" s="695">
        <v>14</v>
      </c>
      <c r="B20" s="713" t="s">
        <v>610</v>
      </c>
      <c r="C20" s="801">
        <v>1368105.1087333225</v>
      </c>
      <c r="D20" s="693">
        <v>1353564.6887333225</v>
      </c>
      <c r="E20" s="693">
        <v>14540.42</v>
      </c>
      <c r="F20" s="693">
        <v>0</v>
      </c>
      <c r="G20" s="693">
        <v>0</v>
      </c>
      <c r="H20" s="693">
        <v>26480.391293888359</v>
      </c>
      <c r="I20" s="693">
        <v>20337.747322868188</v>
      </c>
      <c r="J20" s="693">
        <v>6142.6439710201721</v>
      </c>
      <c r="K20" s="693">
        <v>0</v>
      </c>
      <c r="L20" s="693">
        <v>0</v>
      </c>
    </row>
    <row r="21" spans="1:12" x14ac:dyDescent="0.25">
      <c r="A21" s="695">
        <v>15</v>
      </c>
      <c r="B21" s="713" t="s">
        <v>611</v>
      </c>
      <c r="C21" s="801">
        <v>236469.07810108218</v>
      </c>
      <c r="D21" s="693">
        <v>235761.3781010822</v>
      </c>
      <c r="E21" s="693">
        <v>272.05</v>
      </c>
      <c r="F21" s="693">
        <v>435.65</v>
      </c>
      <c r="G21" s="693">
        <v>0</v>
      </c>
      <c r="H21" s="693">
        <v>4650.4143242243363</v>
      </c>
      <c r="I21" s="693">
        <v>4304.6157730986715</v>
      </c>
      <c r="J21" s="693">
        <v>109.23193475776949</v>
      </c>
      <c r="K21" s="693">
        <v>236.56661636789539</v>
      </c>
      <c r="L21" s="693">
        <v>0</v>
      </c>
    </row>
    <row r="22" spans="1:12" x14ac:dyDescent="0.25">
      <c r="A22" s="695">
        <v>16</v>
      </c>
      <c r="B22" s="706" t="s">
        <v>612</v>
      </c>
      <c r="C22" s="801">
        <v>76277.815347361189</v>
      </c>
      <c r="D22" s="693">
        <v>76277.815347361189</v>
      </c>
      <c r="E22" s="693">
        <v>0</v>
      </c>
      <c r="F22" s="693">
        <v>0</v>
      </c>
      <c r="G22" s="693">
        <v>0</v>
      </c>
      <c r="H22" s="693">
        <v>1337.1326577330258</v>
      </c>
      <c r="I22" s="693">
        <v>1337.1326577330258</v>
      </c>
      <c r="J22" s="693">
        <v>0</v>
      </c>
      <c r="K22" s="693">
        <v>0</v>
      </c>
      <c r="L22" s="693">
        <v>0</v>
      </c>
    </row>
    <row r="23" spans="1:12" x14ac:dyDescent="0.25">
      <c r="A23" s="695">
        <v>17</v>
      </c>
      <c r="B23" s="713" t="s">
        <v>613</v>
      </c>
      <c r="C23" s="801">
        <v>86187.749791725364</v>
      </c>
      <c r="D23" s="693">
        <v>80028.739791725369</v>
      </c>
      <c r="E23" s="693">
        <v>0</v>
      </c>
      <c r="F23" s="693">
        <v>6159.0099999999993</v>
      </c>
      <c r="G23" s="693">
        <v>0</v>
      </c>
      <c r="H23" s="693">
        <v>4679.472875432376</v>
      </c>
      <c r="I23" s="693">
        <v>1335.0079244946248</v>
      </c>
      <c r="J23" s="693">
        <v>0</v>
      </c>
      <c r="K23" s="693">
        <v>3344.4649509377509</v>
      </c>
      <c r="L23" s="693">
        <v>0</v>
      </c>
    </row>
    <row r="24" spans="1:12" x14ac:dyDescent="0.25">
      <c r="A24" s="695">
        <v>18</v>
      </c>
      <c r="B24" s="713" t="s">
        <v>614</v>
      </c>
      <c r="C24" s="801">
        <v>10101913.616997261</v>
      </c>
      <c r="D24" s="693">
        <v>10101913.616997261</v>
      </c>
      <c r="E24" s="693">
        <v>0</v>
      </c>
      <c r="F24" s="693">
        <v>0</v>
      </c>
      <c r="G24" s="693">
        <v>0</v>
      </c>
      <c r="H24" s="693">
        <v>187678.78722548147</v>
      </c>
      <c r="I24" s="693">
        <v>187678.78722548147</v>
      </c>
      <c r="J24" s="693">
        <v>0</v>
      </c>
      <c r="K24" s="693">
        <v>0</v>
      </c>
      <c r="L24" s="693">
        <v>0</v>
      </c>
    </row>
    <row r="25" spans="1:12" x14ac:dyDescent="0.25">
      <c r="A25" s="695">
        <v>19</v>
      </c>
      <c r="B25" s="713" t="s">
        <v>615</v>
      </c>
      <c r="C25" s="801">
        <v>314849.74387250742</v>
      </c>
      <c r="D25" s="693">
        <v>314734.90387250739</v>
      </c>
      <c r="E25" s="693">
        <v>0</v>
      </c>
      <c r="F25" s="693">
        <v>114.84</v>
      </c>
      <c r="G25" s="693">
        <v>0</v>
      </c>
      <c r="H25" s="693">
        <v>6345.9228597896545</v>
      </c>
      <c r="I25" s="693">
        <v>6283.5624552821619</v>
      </c>
      <c r="J25" s="693">
        <v>0</v>
      </c>
      <c r="K25" s="693">
        <v>62.360404507492497</v>
      </c>
      <c r="L25" s="693">
        <v>0</v>
      </c>
    </row>
    <row r="26" spans="1:12" x14ac:dyDescent="0.25">
      <c r="A26" s="695">
        <v>20</v>
      </c>
      <c r="B26" s="713" t="s">
        <v>616</v>
      </c>
      <c r="C26" s="801">
        <v>153195.83938221869</v>
      </c>
      <c r="D26" s="693">
        <v>152873.41938221868</v>
      </c>
      <c r="E26" s="693">
        <v>0</v>
      </c>
      <c r="F26" s="693">
        <v>322.42</v>
      </c>
      <c r="G26" s="693">
        <v>0</v>
      </c>
      <c r="H26" s="693">
        <v>3281.296349861937</v>
      </c>
      <c r="I26" s="693">
        <v>3106.2158759738691</v>
      </c>
      <c r="J26" s="693">
        <v>0</v>
      </c>
      <c r="K26" s="693">
        <v>175.08047388806801</v>
      </c>
      <c r="L26" s="693">
        <v>0</v>
      </c>
    </row>
    <row r="27" spans="1:12" x14ac:dyDescent="0.25">
      <c r="A27" s="695">
        <v>21</v>
      </c>
      <c r="B27" s="713" t="s">
        <v>617</v>
      </c>
      <c r="C27" s="801">
        <v>179886.80551053616</v>
      </c>
      <c r="D27" s="693">
        <v>179886.80551053616</v>
      </c>
      <c r="E27" s="693">
        <v>0</v>
      </c>
      <c r="F27" s="693">
        <v>0</v>
      </c>
      <c r="G27" s="693">
        <v>0</v>
      </c>
      <c r="H27" s="693">
        <v>5279.348727369641</v>
      </c>
      <c r="I27" s="693">
        <v>5279.348727369641</v>
      </c>
      <c r="J27" s="693">
        <v>0</v>
      </c>
      <c r="K27" s="693">
        <v>0</v>
      </c>
      <c r="L27" s="693">
        <v>0</v>
      </c>
    </row>
    <row r="28" spans="1:12" x14ac:dyDescent="0.25">
      <c r="A28" s="695">
        <v>22</v>
      </c>
      <c r="B28" s="713" t="s">
        <v>618</v>
      </c>
      <c r="C28" s="801">
        <v>2320225.5583384247</v>
      </c>
      <c r="D28" s="693">
        <v>2162384.0817690813</v>
      </c>
      <c r="E28" s="693">
        <v>76215.58</v>
      </c>
      <c r="F28" s="693">
        <v>81625.896569343051</v>
      </c>
      <c r="G28" s="693">
        <v>0</v>
      </c>
      <c r="H28" s="693">
        <v>95670.684825639226</v>
      </c>
      <c r="I28" s="693">
        <v>40342.279014772088</v>
      </c>
      <c r="J28" s="693">
        <v>11003.920193042441</v>
      </c>
      <c r="K28" s="693">
        <v>44324.485617824597</v>
      </c>
      <c r="L28" s="693">
        <v>0</v>
      </c>
    </row>
    <row r="29" spans="1:12" x14ac:dyDescent="0.25">
      <c r="A29" s="695">
        <v>23</v>
      </c>
      <c r="B29" s="713" t="s">
        <v>619</v>
      </c>
      <c r="C29" s="801">
        <v>6354721.5690976055</v>
      </c>
      <c r="D29" s="693">
        <v>6019778.3098794967</v>
      </c>
      <c r="E29" s="693">
        <v>231111.80063887034</v>
      </c>
      <c r="F29" s="693">
        <v>103831.45857923497</v>
      </c>
      <c r="G29" s="693">
        <v>0</v>
      </c>
      <c r="H29" s="693">
        <v>223087.62797621515</v>
      </c>
      <c r="I29" s="693">
        <v>105792.57000312778</v>
      </c>
      <c r="J29" s="693">
        <v>60944.660772424693</v>
      </c>
      <c r="K29" s="693">
        <v>56350.397200662977</v>
      </c>
      <c r="L29" s="693">
        <v>0</v>
      </c>
    </row>
    <row r="30" spans="1:12" x14ac:dyDescent="0.25">
      <c r="A30" s="695">
        <v>24</v>
      </c>
      <c r="B30" s="713" t="s">
        <v>620</v>
      </c>
      <c r="C30" s="801">
        <v>3305807.3331959704</v>
      </c>
      <c r="D30" s="693">
        <v>2473066.6731959702</v>
      </c>
      <c r="E30" s="693">
        <v>0</v>
      </c>
      <c r="F30" s="693">
        <v>832740.66</v>
      </c>
      <c r="G30" s="693">
        <v>0</v>
      </c>
      <c r="H30" s="693">
        <v>515411.15387834562</v>
      </c>
      <c r="I30" s="693">
        <v>27101.929058283175</v>
      </c>
      <c r="J30" s="693">
        <v>0</v>
      </c>
      <c r="K30" s="693">
        <v>488309.22482006246</v>
      </c>
      <c r="L30" s="693">
        <v>0</v>
      </c>
    </row>
    <row r="31" spans="1:12" x14ac:dyDescent="0.25">
      <c r="A31" s="695">
        <v>25</v>
      </c>
      <c r="B31" s="713" t="s">
        <v>216</v>
      </c>
      <c r="C31" s="913">
        <v>4676012.4565870343</v>
      </c>
      <c r="D31" s="693">
        <v>4570890.1065870328</v>
      </c>
      <c r="E31" s="695">
        <v>26832.489999999998</v>
      </c>
      <c r="F31" s="695">
        <v>78289.86</v>
      </c>
      <c r="G31" s="693">
        <v>0</v>
      </c>
      <c r="H31" s="695">
        <v>120167.02069261135</v>
      </c>
      <c r="I31" s="693">
        <v>73780.024401602554</v>
      </c>
      <c r="J31" s="693">
        <v>3874.0448939784924</v>
      </c>
      <c r="K31" s="693">
        <v>42512.951397030272</v>
      </c>
      <c r="L31" s="693">
        <v>0</v>
      </c>
    </row>
    <row r="32" spans="1:12" x14ac:dyDescent="0.25">
      <c r="A32" s="695">
        <v>26</v>
      </c>
      <c r="B32" s="713" t="s">
        <v>706</v>
      </c>
      <c r="C32" s="801">
        <v>0</v>
      </c>
      <c r="D32" s="693">
        <v>0</v>
      </c>
      <c r="E32" s="693">
        <v>0</v>
      </c>
      <c r="F32" s="693">
        <v>0</v>
      </c>
      <c r="G32" s="693">
        <v>0</v>
      </c>
      <c r="H32" s="801">
        <v>0</v>
      </c>
      <c r="I32" s="801">
        <v>0</v>
      </c>
      <c r="J32" s="801">
        <v>0</v>
      </c>
      <c r="K32" s="801">
        <v>0</v>
      </c>
      <c r="L32" s="693">
        <v>0</v>
      </c>
    </row>
    <row r="33" spans="1:12" x14ac:dyDescent="0.25">
      <c r="A33" s="695">
        <v>27</v>
      </c>
      <c r="B33" s="802" t="s">
        <v>96</v>
      </c>
      <c r="C33" s="803">
        <f>SUM(C7:C32)</f>
        <v>56782676.0200959</v>
      </c>
      <c r="D33" s="803">
        <f t="shared" ref="D33:L33" si="0">SUM(D7:D32)</f>
        <v>55161091.7146734</v>
      </c>
      <c r="E33" s="803">
        <f t="shared" si="0"/>
        <v>381867.30333960027</v>
      </c>
      <c r="F33" s="803">
        <f t="shared" si="0"/>
        <v>1239717.0020828848</v>
      </c>
      <c r="G33" s="803">
        <f t="shared" si="0"/>
        <v>0</v>
      </c>
      <c r="H33" s="803">
        <f t="shared" si="0"/>
        <v>1710037.768711553</v>
      </c>
      <c r="I33" s="803">
        <f t="shared" si="0"/>
        <v>897207.75873414206</v>
      </c>
      <c r="J33" s="803">
        <f t="shared" si="0"/>
        <v>92860.266544970087</v>
      </c>
      <c r="K33" s="803">
        <f t="shared" si="0"/>
        <v>719969.74343244126</v>
      </c>
      <c r="L33" s="803">
        <f t="shared" si="0"/>
        <v>0</v>
      </c>
    </row>
  </sheetData>
  <mergeCells count="3">
    <mergeCell ref="A5:B6"/>
    <mergeCell ref="C5:G5"/>
    <mergeCell ref="H5:L5"/>
  </mergeCells>
  <conditionalFormatting sqref="A5">
    <cfRule type="duplicateValues" dxfId="5" priority="1"/>
    <cfRule type="duplicateValues" dxfId="4" priority="2"/>
    <cfRule type="duplicateValues" dxfId="3" priority="3"/>
  </conditionalFormatting>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978D4-30EB-4D6C-947C-903D6EDAB8E2}">
  <dimension ref="A1:M22"/>
  <sheetViews>
    <sheetView showGridLines="0" topLeftCell="C3" zoomScaleNormal="100" workbookViewId="0">
      <selection activeCell="C6" sqref="C6:K11"/>
    </sheetView>
  </sheetViews>
  <sheetFormatPr defaultColWidth="8.7109375" defaultRowHeight="12" x14ac:dyDescent="0.2"/>
  <cols>
    <col min="1" max="1" width="11.85546875" style="807" bestFit="1" customWidth="1"/>
    <col min="2" max="2" width="80" style="807" customWidth="1"/>
    <col min="3" max="11" width="20.5703125" style="807" customWidth="1"/>
    <col min="12" max="12" width="12.42578125" style="806" bestFit="1" customWidth="1"/>
    <col min="13" max="16384" width="8.7109375" style="807"/>
  </cols>
  <sheetData>
    <row r="1" spans="1:13" s="654" customFormat="1" ht="13.5" x14ac:dyDescent="0.25">
      <c r="A1" s="653" t="s">
        <v>41</v>
      </c>
      <c r="B1" s="24" t="str">
        <f>Info!C2</f>
        <v>სს სილქ ბანკი</v>
      </c>
      <c r="C1" s="684"/>
      <c r="D1" s="684"/>
      <c r="E1" s="684"/>
      <c r="F1" s="684"/>
      <c r="G1" s="684"/>
      <c r="H1" s="684"/>
      <c r="I1" s="684"/>
      <c r="J1" s="684"/>
      <c r="K1" s="684"/>
      <c r="L1" s="716"/>
    </row>
    <row r="2" spans="1:13" s="654" customFormat="1" ht="12.75" x14ac:dyDescent="0.25">
      <c r="A2" s="653" t="s">
        <v>42</v>
      </c>
      <c r="B2" s="655">
        <f>'1. key ratios'!B2</f>
        <v>45291</v>
      </c>
      <c r="C2" s="684"/>
      <c r="D2" s="684"/>
      <c r="E2" s="684"/>
      <c r="F2" s="684"/>
      <c r="G2" s="684"/>
      <c r="H2" s="684"/>
      <c r="I2" s="684"/>
      <c r="J2" s="684"/>
      <c r="K2" s="684"/>
      <c r="L2" s="716"/>
    </row>
    <row r="3" spans="1:13" s="654" customFormat="1" ht="12.75" x14ac:dyDescent="0.25">
      <c r="A3" s="656" t="s">
        <v>707</v>
      </c>
      <c r="B3" s="684"/>
      <c r="C3" s="684"/>
      <c r="D3" s="684"/>
      <c r="E3" s="684"/>
      <c r="F3" s="684"/>
      <c r="G3" s="684"/>
      <c r="H3" s="684"/>
      <c r="I3" s="684"/>
      <c r="J3" s="684"/>
      <c r="K3" s="684"/>
      <c r="L3" s="716"/>
    </row>
    <row r="4" spans="1:13" ht="40.5" customHeight="1" x14ac:dyDescent="0.2">
      <c r="A4" s="804"/>
      <c r="B4" s="804"/>
      <c r="C4" s="805" t="s">
        <v>575</v>
      </c>
      <c r="D4" s="805" t="s">
        <v>576</v>
      </c>
      <c r="E4" s="805" t="s">
        <v>577</v>
      </c>
      <c r="F4" s="805" t="s">
        <v>578</v>
      </c>
      <c r="G4" s="805" t="s">
        <v>579</v>
      </c>
      <c r="H4" s="805" t="s">
        <v>580</v>
      </c>
      <c r="I4" s="805" t="s">
        <v>708</v>
      </c>
      <c r="J4" s="805" t="s">
        <v>709</v>
      </c>
      <c r="K4" s="805" t="s">
        <v>710</v>
      </c>
    </row>
    <row r="5" spans="1:13" ht="104.1" customHeight="1" x14ac:dyDescent="0.2">
      <c r="A5" s="808" t="s">
        <v>711</v>
      </c>
      <c r="B5" s="809"/>
      <c r="C5" s="810" t="s">
        <v>712</v>
      </c>
      <c r="D5" s="810" t="s">
        <v>713</v>
      </c>
      <c r="E5" s="810" t="s">
        <v>714</v>
      </c>
      <c r="F5" s="810" t="s">
        <v>715</v>
      </c>
      <c r="G5" s="810" t="s">
        <v>716</v>
      </c>
      <c r="H5" s="810" t="s">
        <v>717</v>
      </c>
      <c r="I5" s="810" t="s">
        <v>718</v>
      </c>
      <c r="J5" s="810" t="s">
        <v>719</v>
      </c>
      <c r="K5" s="810" t="s">
        <v>720</v>
      </c>
    </row>
    <row r="6" spans="1:13" ht="12.75" x14ac:dyDescent="0.25">
      <c r="A6" s="695">
        <v>1</v>
      </c>
      <c r="B6" s="695" t="s">
        <v>721</v>
      </c>
      <c r="C6" s="693">
        <v>2062321.5442426126</v>
      </c>
      <c r="D6" s="693"/>
      <c r="E6" s="693"/>
      <c r="F6" s="693"/>
      <c r="G6" s="693">
        <v>32727707.026820853</v>
      </c>
      <c r="H6" s="693"/>
      <c r="I6" s="694">
        <v>7860720.1407174123</v>
      </c>
      <c r="J6" s="694">
        <v>0</v>
      </c>
      <c r="K6" s="694">
        <f>'23. LTV'!C8-J6-I6-G6-C6-1013200</f>
        <v>13118727.308315001</v>
      </c>
      <c r="L6" s="811"/>
      <c r="M6" s="812"/>
    </row>
    <row r="7" spans="1:13" ht="12.75" x14ac:dyDescent="0.25">
      <c r="A7" s="695">
        <v>2</v>
      </c>
      <c r="B7" s="695" t="s">
        <v>722</v>
      </c>
      <c r="C7" s="693"/>
      <c r="D7" s="693"/>
      <c r="E7" s="693"/>
      <c r="F7" s="693"/>
      <c r="G7" s="693"/>
      <c r="H7" s="693"/>
      <c r="I7" s="693"/>
      <c r="J7" s="693"/>
      <c r="K7" s="693"/>
    </row>
    <row r="8" spans="1:13" ht="12.75" x14ac:dyDescent="0.25">
      <c r="A8" s="695">
        <v>3</v>
      </c>
      <c r="B8" s="695" t="s">
        <v>672</v>
      </c>
      <c r="C8" s="693">
        <v>1566394</v>
      </c>
      <c r="D8" s="693"/>
      <c r="E8" s="693"/>
      <c r="F8" s="693"/>
      <c r="G8" s="693">
        <v>2720798.22</v>
      </c>
      <c r="H8" s="693"/>
      <c r="I8" s="693"/>
      <c r="J8" s="693"/>
      <c r="K8" s="693">
        <f>'4. Off-balance'!E27+'4. Off-balance'!E28-C8-G8-I8</f>
        <v>3469555.6299999994</v>
      </c>
    </row>
    <row r="9" spans="1:13" ht="12.75" x14ac:dyDescent="0.25">
      <c r="A9" s="695">
        <v>4</v>
      </c>
      <c r="B9" s="723" t="s">
        <v>723</v>
      </c>
      <c r="C9" s="813"/>
      <c r="D9" s="813"/>
      <c r="E9" s="813"/>
      <c r="F9" s="813"/>
      <c r="G9" s="813">
        <v>970455.79</v>
      </c>
      <c r="H9" s="813"/>
      <c r="I9" s="813">
        <v>0</v>
      </c>
      <c r="J9" s="814"/>
      <c r="K9" s="813">
        <v>269261.21208288474</v>
      </c>
    </row>
    <row r="10" spans="1:13" ht="12.75" x14ac:dyDescent="0.25">
      <c r="A10" s="695">
        <v>5</v>
      </c>
      <c r="B10" s="723" t="s">
        <v>724</v>
      </c>
      <c r="C10" s="813"/>
      <c r="D10" s="813"/>
      <c r="E10" s="813"/>
      <c r="F10" s="813"/>
      <c r="G10" s="813"/>
      <c r="H10" s="813"/>
      <c r="I10" s="813"/>
      <c r="J10" s="813"/>
      <c r="K10" s="813"/>
    </row>
    <row r="11" spans="1:13" ht="12.75" x14ac:dyDescent="0.25">
      <c r="A11" s="695">
        <v>6</v>
      </c>
      <c r="B11" s="723" t="s">
        <v>725</v>
      </c>
      <c r="C11" s="813"/>
      <c r="D11" s="813"/>
      <c r="E11" s="813"/>
      <c r="F11" s="813"/>
      <c r="G11" s="813"/>
      <c r="H11" s="813"/>
      <c r="I11" s="813"/>
      <c r="J11" s="813"/>
      <c r="K11" s="813"/>
    </row>
    <row r="13" spans="1:13" ht="15" x14ac:dyDescent="0.3">
      <c r="B13" s="815"/>
      <c r="G13" s="816"/>
    </row>
    <row r="14" spans="1:13" x14ac:dyDescent="0.2">
      <c r="G14" s="816"/>
    </row>
    <row r="15" spans="1:13" x14ac:dyDescent="0.2">
      <c r="G15" s="817"/>
    </row>
    <row r="20" spans="2:7" x14ac:dyDescent="0.2">
      <c r="C20" s="817"/>
      <c r="G20" s="817"/>
    </row>
    <row r="22" spans="2:7" x14ac:dyDescent="0.2">
      <c r="B22" s="818"/>
    </row>
  </sheetData>
  <mergeCells count="1">
    <mergeCell ref="A5:B5"/>
  </mergeCells>
  <conditionalFormatting sqref="A5">
    <cfRule type="duplicateValues" dxfId="2" priority="1"/>
    <cfRule type="duplicateValues" dxfId="1" priority="2"/>
    <cfRule type="duplicateValues" dxfId="0" priority="3"/>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AF554-C77A-45F9-BBD7-E8EF332EC400}">
  <dimension ref="A1:BP27"/>
  <sheetViews>
    <sheetView showGridLines="0" topLeftCell="B1" zoomScaleNormal="100" workbookViewId="0">
      <pane xSplit="2" topLeftCell="N1" activePane="topRight" state="frozen"/>
      <selection activeCell="I31" sqref="I31:L31"/>
      <selection pane="topRight" activeCell="D7" sqref="D7:W20"/>
    </sheetView>
  </sheetViews>
  <sheetFormatPr defaultColWidth="8.7109375" defaultRowHeight="15" x14ac:dyDescent="0.25"/>
  <cols>
    <col min="1" max="1" width="8.7109375" style="819"/>
    <col min="2" max="2" width="13.7109375" style="819" customWidth="1"/>
    <col min="3" max="3" width="56.42578125" style="819" customWidth="1"/>
    <col min="4" max="4" width="17.28515625" style="819" customWidth="1"/>
    <col min="5" max="5" width="15.85546875" style="819" bestFit="1" customWidth="1"/>
    <col min="6" max="7" width="14.85546875" style="819" customWidth="1"/>
    <col min="8" max="8" width="23" style="819" customWidth="1"/>
    <col min="9" max="9" width="16.5703125" style="819" customWidth="1"/>
    <col min="10" max="10" width="17.42578125" style="819" customWidth="1"/>
    <col min="11" max="11" width="16.42578125" style="819" customWidth="1"/>
    <col min="12" max="12" width="25.140625" style="819" customWidth="1"/>
    <col min="13" max="13" width="22.140625" style="819" customWidth="1"/>
    <col min="14" max="14" width="12.85546875" style="819" customWidth="1"/>
    <col min="15" max="15" width="15.140625" style="819" bestFit="1" customWidth="1"/>
    <col min="16" max="16" width="14.140625" style="819" customWidth="1"/>
    <col min="17" max="17" width="14.28515625" style="819" customWidth="1"/>
    <col min="18" max="18" width="25.7109375" style="819" customWidth="1"/>
    <col min="19" max="19" width="10.7109375" style="819" customWidth="1"/>
    <col min="20" max="20" width="19.28515625" style="819" customWidth="1"/>
    <col min="21" max="21" width="23.28515625" style="819" customWidth="1"/>
    <col min="22" max="22" width="21.85546875" style="819" customWidth="1"/>
    <col min="23" max="23" width="21" style="819" customWidth="1"/>
    <col min="24" max="16384" width="8.7109375" style="819"/>
  </cols>
  <sheetData>
    <row r="1" spans="1:68" x14ac:dyDescent="0.25">
      <c r="B1" s="653" t="s">
        <v>41</v>
      </c>
      <c r="C1" s="24" t="str">
        <f>Info!C2</f>
        <v>სს სილქ ბანკი</v>
      </c>
    </row>
    <row r="2" spans="1:68" x14ac:dyDescent="0.25">
      <c r="B2" s="653" t="s">
        <v>42</v>
      </c>
      <c r="C2" s="655">
        <f>'1. key ratios'!B2</f>
        <v>45291</v>
      </c>
    </row>
    <row r="3" spans="1:68" x14ac:dyDescent="0.25">
      <c r="B3" s="656" t="s">
        <v>726</v>
      </c>
      <c r="C3" s="684"/>
    </row>
    <row r="4" spans="1:68" ht="40.5" customHeight="1" x14ac:dyDescent="0.25">
      <c r="B4" s="656"/>
      <c r="C4" s="684"/>
    </row>
    <row r="5" spans="1:68" ht="24" customHeight="1" x14ac:dyDescent="0.25">
      <c r="B5" s="820" t="s">
        <v>727</v>
      </c>
      <c r="C5" s="820"/>
      <c r="D5" s="821" t="s">
        <v>728</v>
      </c>
      <c r="E5" s="821"/>
      <c r="F5" s="821"/>
      <c r="G5" s="821"/>
      <c r="H5" s="821"/>
      <c r="I5" s="821" t="s">
        <v>582</v>
      </c>
      <c r="J5" s="821"/>
      <c r="K5" s="821"/>
      <c r="L5" s="821"/>
      <c r="M5" s="821"/>
      <c r="N5" s="821" t="s">
        <v>583</v>
      </c>
      <c r="O5" s="821"/>
      <c r="P5" s="821"/>
      <c r="Q5" s="821"/>
      <c r="R5" s="821"/>
      <c r="S5" s="822" t="s">
        <v>729</v>
      </c>
      <c r="T5" s="822" t="s">
        <v>730</v>
      </c>
      <c r="U5" s="822" t="s">
        <v>731</v>
      </c>
      <c r="V5" s="822" t="s">
        <v>732</v>
      </c>
      <c r="W5" s="822" t="s">
        <v>733</v>
      </c>
    </row>
    <row r="6" spans="1:68" ht="45" customHeight="1" x14ac:dyDescent="0.25">
      <c r="B6" s="820"/>
      <c r="C6" s="820"/>
      <c r="D6" s="823"/>
      <c r="E6" s="690" t="s">
        <v>654</v>
      </c>
      <c r="F6" s="690" t="s">
        <v>655</v>
      </c>
      <c r="G6" s="690" t="s">
        <v>656</v>
      </c>
      <c r="H6" s="690" t="s">
        <v>657</v>
      </c>
      <c r="I6" s="823"/>
      <c r="J6" s="690" t="s">
        <v>654</v>
      </c>
      <c r="K6" s="690" t="s">
        <v>655</v>
      </c>
      <c r="L6" s="690" t="s">
        <v>656</v>
      </c>
      <c r="M6" s="690" t="s">
        <v>657</v>
      </c>
      <c r="N6" s="823"/>
      <c r="O6" s="690" t="s">
        <v>654</v>
      </c>
      <c r="P6" s="690" t="s">
        <v>655</v>
      </c>
      <c r="Q6" s="690" t="s">
        <v>656</v>
      </c>
      <c r="R6" s="690" t="s">
        <v>657</v>
      </c>
      <c r="S6" s="822"/>
      <c r="T6" s="822"/>
      <c r="U6" s="822"/>
      <c r="V6" s="822"/>
      <c r="W6" s="822"/>
    </row>
    <row r="7" spans="1:68" x14ac:dyDescent="0.25">
      <c r="B7" s="824">
        <v>1</v>
      </c>
      <c r="C7" s="825" t="s">
        <v>734</v>
      </c>
      <c r="D7" s="826">
        <f t="shared" ref="D7:D19" si="0">E7+F7+G7</f>
        <v>436009.58</v>
      </c>
      <c r="E7" s="813">
        <v>436009.58</v>
      </c>
      <c r="F7" s="813">
        <v>0</v>
      </c>
      <c r="G7" s="813">
        <v>0</v>
      </c>
      <c r="H7" s="813"/>
      <c r="I7" s="813">
        <f t="shared" ref="I7:I18" si="1">SUM(J7:M7)</f>
        <v>442313.34427</v>
      </c>
      <c r="J7" s="813">
        <v>442313.34427</v>
      </c>
      <c r="K7" s="813">
        <v>0</v>
      </c>
      <c r="L7" s="813">
        <v>0</v>
      </c>
      <c r="M7" s="813"/>
      <c r="N7" s="813">
        <f t="shared" ref="N7:N18" si="2">O7+P7+Q7</f>
        <v>10723.26748004</v>
      </c>
      <c r="O7" s="813">
        <v>10723.26748004</v>
      </c>
      <c r="P7" s="813">
        <v>0</v>
      </c>
      <c r="Q7" s="813">
        <v>0</v>
      </c>
      <c r="R7" s="813">
        <v>0</v>
      </c>
      <c r="S7" s="827">
        <v>38</v>
      </c>
      <c r="T7" s="828">
        <v>0.29935665460394001</v>
      </c>
      <c r="U7" s="828">
        <v>0.35949658222758302</v>
      </c>
      <c r="V7" s="828">
        <v>0.32188813034796099</v>
      </c>
      <c r="W7" s="813">
        <v>36.799061245397397</v>
      </c>
    </row>
    <row r="8" spans="1:68" x14ac:dyDescent="0.25">
      <c r="B8" s="824">
        <v>2</v>
      </c>
      <c r="C8" s="829" t="s">
        <v>602</v>
      </c>
      <c r="D8" s="826">
        <f t="shared" si="0"/>
        <v>14518581.720000001</v>
      </c>
      <c r="E8" s="813">
        <v>13821890.83</v>
      </c>
      <c r="F8" s="813">
        <v>369560.66</v>
      </c>
      <c r="G8" s="813">
        <v>327130.23</v>
      </c>
      <c r="H8" s="813"/>
      <c r="I8" s="813">
        <f t="shared" si="1"/>
        <v>14626710.6239563</v>
      </c>
      <c r="J8" s="813">
        <v>13907381.4785947</v>
      </c>
      <c r="K8" s="813">
        <v>381038.46328239999</v>
      </c>
      <c r="L8" s="813">
        <v>338290.68207919999</v>
      </c>
      <c r="M8" s="813"/>
      <c r="N8" s="813">
        <f t="shared" si="2"/>
        <v>542591.22702161293</v>
      </c>
      <c r="O8" s="813">
        <v>261596.06822661299</v>
      </c>
      <c r="P8" s="813">
        <v>92556.375409200002</v>
      </c>
      <c r="Q8" s="813">
        <v>188438.78338579999</v>
      </c>
      <c r="R8" s="813"/>
      <c r="S8" s="827">
        <v>1051</v>
      </c>
      <c r="T8" s="828">
        <v>0.25663309477797702</v>
      </c>
      <c r="U8" s="828">
        <v>0.30302633337880402</v>
      </c>
      <c r="V8" s="828">
        <v>0.195470210678517</v>
      </c>
      <c r="W8" s="813">
        <v>42.244959391825397</v>
      </c>
    </row>
    <row r="9" spans="1:68" x14ac:dyDescent="0.25">
      <c r="B9" s="824">
        <v>3</v>
      </c>
      <c r="C9" s="829" t="s">
        <v>735</v>
      </c>
      <c r="D9" s="826">
        <f t="shared" si="0"/>
        <v>17391.78</v>
      </c>
      <c r="E9" s="813">
        <v>14623.87</v>
      </c>
      <c r="F9" s="813">
        <v>773.56</v>
      </c>
      <c r="G9" s="813">
        <v>1994.35</v>
      </c>
      <c r="H9" s="813"/>
      <c r="I9" s="813">
        <f t="shared" si="1"/>
        <v>17489.560000000001</v>
      </c>
      <c r="J9" s="813">
        <v>14657.15</v>
      </c>
      <c r="K9" s="813">
        <v>820.62</v>
      </c>
      <c r="L9" s="813">
        <v>2011.79</v>
      </c>
      <c r="M9" s="813"/>
      <c r="N9" s="813">
        <f t="shared" si="2"/>
        <v>2357.03638344</v>
      </c>
      <c r="O9" s="813">
        <v>996.33442292999996</v>
      </c>
      <c r="P9" s="813">
        <v>300.41029298000001</v>
      </c>
      <c r="Q9" s="813">
        <v>1060.29166753</v>
      </c>
      <c r="R9" s="813"/>
      <c r="S9" s="827">
        <v>73</v>
      </c>
      <c r="T9" s="828">
        <v>0</v>
      </c>
      <c r="U9" s="828">
        <v>0</v>
      </c>
      <c r="V9" s="828">
        <v>0.35</v>
      </c>
      <c r="W9" s="813">
        <v>0.45494229330295599</v>
      </c>
    </row>
    <row r="10" spans="1:68" x14ac:dyDescent="0.25">
      <c r="B10" s="824">
        <v>4</v>
      </c>
      <c r="C10" s="829" t="s">
        <v>736</v>
      </c>
      <c r="D10" s="826">
        <f t="shared" si="0"/>
        <v>102812.53</v>
      </c>
      <c r="E10" s="813">
        <v>102812.53</v>
      </c>
      <c r="F10" s="813">
        <v>0</v>
      </c>
      <c r="G10" s="813">
        <v>0</v>
      </c>
      <c r="H10" s="813"/>
      <c r="I10" s="813">
        <f t="shared" si="1"/>
        <v>95172.458956500006</v>
      </c>
      <c r="J10" s="813">
        <v>95172.458956500006</v>
      </c>
      <c r="K10" s="813">
        <v>0</v>
      </c>
      <c r="L10" s="813">
        <v>0</v>
      </c>
      <c r="M10" s="813"/>
      <c r="N10" s="813">
        <f t="shared" si="2"/>
        <v>1137.2663458659999</v>
      </c>
      <c r="O10" s="813">
        <v>1137.2663458659999</v>
      </c>
      <c r="P10" s="813">
        <v>0</v>
      </c>
      <c r="Q10" s="813">
        <v>0</v>
      </c>
      <c r="R10" s="813"/>
      <c r="S10" s="827">
        <v>39</v>
      </c>
      <c r="T10" s="828">
        <v>0</v>
      </c>
      <c r="U10" s="828">
        <v>0</v>
      </c>
      <c r="V10" s="828">
        <v>0.28000000000000003</v>
      </c>
      <c r="W10" s="813">
        <v>10.9298977177198</v>
      </c>
    </row>
    <row r="11" spans="1:68" x14ac:dyDescent="0.25">
      <c r="B11" s="824">
        <v>5</v>
      </c>
      <c r="C11" s="829" t="s">
        <v>737</v>
      </c>
      <c r="D11" s="826">
        <f t="shared" si="0"/>
        <v>34032.559999999998</v>
      </c>
      <c r="E11" s="813">
        <v>34032.559999999998</v>
      </c>
      <c r="F11" s="813">
        <v>0</v>
      </c>
      <c r="G11" s="813">
        <v>0</v>
      </c>
      <c r="H11" s="813"/>
      <c r="I11" s="813">
        <f t="shared" si="1"/>
        <v>34234.629999999997</v>
      </c>
      <c r="J11" s="813">
        <v>34234.629999999997</v>
      </c>
      <c r="K11" s="813">
        <v>0</v>
      </c>
      <c r="L11" s="813">
        <v>0</v>
      </c>
      <c r="M11" s="813"/>
      <c r="N11" s="813">
        <f t="shared" si="2"/>
        <v>818.66817457499997</v>
      </c>
      <c r="O11" s="813">
        <v>818.66817457499997</v>
      </c>
      <c r="P11" s="813">
        <v>0</v>
      </c>
      <c r="Q11" s="813">
        <v>0</v>
      </c>
      <c r="R11" s="813"/>
      <c r="S11" s="827">
        <v>17</v>
      </c>
      <c r="T11" s="828">
        <v>0.48</v>
      </c>
      <c r="U11" s="828">
        <v>0.48299999999999998</v>
      </c>
      <c r="V11" s="828">
        <v>0.16536210323290401</v>
      </c>
      <c r="W11" s="813">
        <v>9.8151424193138403</v>
      </c>
    </row>
    <row r="12" spans="1:68" x14ac:dyDescent="0.25">
      <c r="B12" s="824">
        <v>6</v>
      </c>
      <c r="C12" s="829" t="s">
        <v>738</v>
      </c>
      <c r="D12" s="826">
        <f t="shared" si="0"/>
        <v>59094.91</v>
      </c>
      <c r="E12" s="813">
        <v>59087.48</v>
      </c>
      <c r="F12" s="813">
        <v>7.43</v>
      </c>
      <c r="G12" s="813">
        <v>0</v>
      </c>
      <c r="H12" s="813"/>
      <c r="I12" s="813">
        <f t="shared" si="1"/>
        <v>59779.310000000005</v>
      </c>
      <c r="J12" s="813">
        <v>59771.090000000004</v>
      </c>
      <c r="K12" s="813">
        <v>8.2200000000000006</v>
      </c>
      <c r="L12" s="813">
        <v>0</v>
      </c>
      <c r="M12" s="813"/>
      <c r="N12" s="813">
        <f t="shared" si="2"/>
        <v>2019.490958159</v>
      </c>
      <c r="O12" s="813">
        <v>2016.010120139</v>
      </c>
      <c r="P12" s="813">
        <v>3.4808380200000002</v>
      </c>
      <c r="Q12" s="813">
        <v>0</v>
      </c>
      <c r="R12" s="813"/>
      <c r="S12" s="827">
        <v>50</v>
      </c>
      <c r="T12" s="828">
        <v>0</v>
      </c>
      <c r="U12" s="828">
        <v>0</v>
      </c>
      <c r="V12" s="828">
        <v>0.22971787587120401</v>
      </c>
      <c r="W12" s="813">
        <v>7.1921391876220797</v>
      </c>
    </row>
    <row r="13" spans="1:68" x14ac:dyDescent="0.25">
      <c r="B13" s="824">
        <v>7</v>
      </c>
      <c r="C13" s="829" t="s">
        <v>739</v>
      </c>
      <c r="D13" s="826">
        <f t="shared" si="0"/>
        <v>1599999.83</v>
      </c>
      <c r="E13" s="813">
        <v>1599999.83</v>
      </c>
      <c r="F13" s="813">
        <v>0</v>
      </c>
      <c r="G13" s="813">
        <v>0</v>
      </c>
      <c r="H13" s="813"/>
      <c r="I13" s="813">
        <f t="shared" si="1"/>
        <v>1610610.9210999999</v>
      </c>
      <c r="J13" s="813">
        <v>1610610.9210999999</v>
      </c>
      <c r="K13" s="813">
        <v>0</v>
      </c>
      <c r="L13" s="813">
        <v>0</v>
      </c>
      <c r="M13" s="813"/>
      <c r="N13" s="813">
        <f t="shared" si="2"/>
        <v>47001.370623499999</v>
      </c>
      <c r="O13" s="813">
        <v>47001.370623499999</v>
      </c>
      <c r="P13" s="813">
        <v>0</v>
      </c>
      <c r="Q13" s="813">
        <v>0</v>
      </c>
      <c r="R13" s="813"/>
      <c r="S13" s="827">
        <v>16</v>
      </c>
      <c r="T13" s="828">
        <v>0.127</v>
      </c>
      <c r="U13" s="828">
        <v>0.13600000000000001</v>
      </c>
      <c r="V13" s="828">
        <v>0.13868976014203699</v>
      </c>
      <c r="W13" s="813">
        <v>125.238105385298</v>
      </c>
    </row>
    <row r="14" spans="1:68" s="830" customFormat="1" x14ac:dyDescent="0.25">
      <c r="A14" s="830" t="s">
        <v>599</v>
      </c>
      <c r="B14" s="914">
        <v>7.1</v>
      </c>
      <c r="C14" s="915" t="s">
        <v>740</v>
      </c>
      <c r="D14" s="826">
        <f t="shared" si="0"/>
        <v>1037753.18</v>
      </c>
      <c r="E14" s="813">
        <v>1037753.18</v>
      </c>
      <c r="F14" s="813">
        <v>0</v>
      </c>
      <c r="G14" s="813">
        <v>0</v>
      </c>
      <c r="H14" s="813"/>
      <c r="I14" s="813">
        <f t="shared" si="1"/>
        <v>1044451.7953999999</v>
      </c>
      <c r="J14" s="813">
        <v>1044451.7953999999</v>
      </c>
      <c r="K14" s="813">
        <v>0</v>
      </c>
      <c r="L14" s="813">
        <v>0</v>
      </c>
      <c r="M14" s="813"/>
      <c r="N14" s="813">
        <f t="shared" si="2"/>
        <v>28232.815083900001</v>
      </c>
      <c r="O14" s="813">
        <v>28232.815083900001</v>
      </c>
      <c r="P14" s="813">
        <v>0</v>
      </c>
      <c r="Q14" s="813">
        <v>0</v>
      </c>
      <c r="R14" s="813"/>
      <c r="S14" s="827">
        <v>7</v>
      </c>
      <c r="T14" s="828">
        <v>0</v>
      </c>
      <c r="U14" s="828">
        <v>0</v>
      </c>
      <c r="V14" s="828">
        <v>0.14044301010959001</v>
      </c>
      <c r="W14" s="813">
        <v>124.7611040103</v>
      </c>
      <c r="X14" s="819"/>
      <c r="Y14" s="819"/>
      <c r="Z14" s="819"/>
      <c r="AA14" s="819"/>
      <c r="AB14" s="819"/>
      <c r="AC14" s="819"/>
      <c r="AD14" s="819"/>
      <c r="AE14" s="819"/>
      <c r="AF14" s="819"/>
      <c r="AG14" s="819"/>
      <c r="AH14" s="819"/>
      <c r="AI14" s="819"/>
      <c r="AJ14" s="819"/>
      <c r="AK14" s="819"/>
      <c r="AL14" s="819"/>
      <c r="AM14" s="819"/>
      <c r="AN14" s="819"/>
      <c r="AO14" s="819"/>
      <c r="AP14" s="819"/>
      <c r="AQ14" s="819"/>
      <c r="AR14" s="819"/>
      <c r="AS14" s="819"/>
      <c r="AT14" s="819"/>
      <c r="AU14" s="819"/>
      <c r="AV14" s="819"/>
      <c r="AW14" s="819"/>
      <c r="AX14" s="819"/>
      <c r="AY14" s="819"/>
      <c r="AZ14" s="819"/>
      <c r="BA14" s="819"/>
      <c r="BB14" s="819"/>
      <c r="BC14" s="819"/>
      <c r="BD14" s="819"/>
      <c r="BE14" s="819"/>
      <c r="BF14" s="819"/>
      <c r="BG14" s="819"/>
      <c r="BH14" s="819"/>
      <c r="BI14" s="819"/>
      <c r="BJ14" s="819"/>
      <c r="BK14" s="819"/>
      <c r="BL14" s="819"/>
      <c r="BM14" s="819"/>
      <c r="BN14" s="819"/>
      <c r="BO14" s="819"/>
      <c r="BP14" s="819"/>
    </row>
    <row r="15" spans="1:68" s="830" customFormat="1" ht="25.5" x14ac:dyDescent="0.25">
      <c r="A15" s="830" t="s">
        <v>741</v>
      </c>
      <c r="B15" s="914">
        <v>7.2</v>
      </c>
      <c r="C15" s="915" t="s">
        <v>742</v>
      </c>
      <c r="D15" s="826">
        <f t="shared" si="0"/>
        <v>233449.84</v>
      </c>
      <c r="E15" s="813">
        <v>233449.84</v>
      </c>
      <c r="F15" s="813">
        <v>0</v>
      </c>
      <c r="G15" s="813">
        <v>0</v>
      </c>
      <c r="H15" s="813"/>
      <c r="I15" s="813">
        <f t="shared" si="1"/>
        <v>234225.87220000001</v>
      </c>
      <c r="J15" s="813">
        <v>234225.87220000001</v>
      </c>
      <c r="K15" s="813">
        <v>0</v>
      </c>
      <c r="L15" s="813">
        <v>0</v>
      </c>
      <c r="M15" s="813"/>
      <c r="N15" s="813">
        <f t="shared" si="2"/>
        <v>8432.6071549999997</v>
      </c>
      <c r="O15" s="813">
        <v>8432.6071549999997</v>
      </c>
      <c r="P15" s="813">
        <v>0</v>
      </c>
      <c r="Q15" s="813">
        <v>0</v>
      </c>
      <c r="R15" s="813"/>
      <c r="S15" s="827">
        <v>3</v>
      </c>
      <c r="T15" s="828">
        <v>0.127</v>
      </c>
      <c r="U15" s="828">
        <v>0.13600000000000001</v>
      </c>
      <c r="V15" s="828">
        <v>0.128068609942075</v>
      </c>
      <c r="W15" s="813">
        <v>150.11121830710999</v>
      </c>
      <c r="X15" s="819"/>
      <c r="Y15" s="819"/>
      <c r="Z15" s="819"/>
      <c r="AA15" s="819"/>
      <c r="AB15" s="819"/>
      <c r="AC15" s="819"/>
      <c r="AD15" s="819"/>
      <c r="AE15" s="819"/>
      <c r="AF15" s="819"/>
      <c r="AG15" s="819"/>
      <c r="AH15" s="819"/>
      <c r="AI15" s="819"/>
      <c r="AJ15" s="819"/>
      <c r="AK15" s="819"/>
      <c r="AL15" s="819"/>
      <c r="AM15" s="819"/>
      <c r="AN15" s="819"/>
      <c r="AO15" s="819"/>
      <c r="AP15" s="819"/>
      <c r="AQ15" s="819"/>
      <c r="AR15" s="819"/>
      <c r="AS15" s="819"/>
      <c r="AT15" s="819"/>
      <c r="AU15" s="819"/>
      <c r="AV15" s="819"/>
      <c r="AW15" s="819"/>
      <c r="AX15" s="819"/>
      <c r="AY15" s="819"/>
      <c r="AZ15" s="819"/>
      <c r="BA15" s="819"/>
      <c r="BB15" s="819"/>
      <c r="BC15" s="819"/>
      <c r="BD15" s="819"/>
      <c r="BE15" s="819"/>
      <c r="BF15" s="819"/>
      <c r="BG15" s="819"/>
      <c r="BH15" s="819"/>
      <c r="BI15" s="819"/>
      <c r="BJ15" s="819"/>
      <c r="BK15" s="819"/>
      <c r="BL15" s="819"/>
      <c r="BM15" s="819"/>
      <c r="BN15" s="819"/>
      <c r="BO15" s="819"/>
      <c r="BP15" s="819"/>
    </row>
    <row r="16" spans="1:68" s="830" customFormat="1" x14ac:dyDescent="0.25">
      <c r="A16" s="831" t="s">
        <v>743</v>
      </c>
      <c r="B16" s="914">
        <v>7.3</v>
      </c>
      <c r="C16" s="915" t="s">
        <v>744</v>
      </c>
      <c r="D16" s="826">
        <f t="shared" si="0"/>
        <v>328796.81</v>
      </c>
      <c r="E16" s="813">
        <v>328796.81</v>
      </c>
      <c r="F16" s="813">
        <v>0</v>
      </c>
      <c r="G16" s="813">
        <v>0</v>
      </c>
      <c r="H16" s="813"/>
      <c r="I16" s="813">
        <f t="shared" si="1"/>
        <v>331933.25349999999</v>
      </c>
      <c r="J16" s="813">
        <v>331933.25349999999</v>
      </c>
      <c r="K16" s="813">
        <v>0</v>
      </c>
      <c r="L16" s="813">
        <v>0</v>
      </c>
      <c r="M16" s="813"/>
      <c r="N16" s="813">
        <f t="shared" si="2"/>
        <v>10335.9483846</v>
      </c>
      <c r="O16" s="813">
        <v>10335.9483846</v>
      </c>
      <c r="P16" s="813">
        <v>0</v>
      </c>
      <c r="Q16" s="813">
        <v>0</v>
      </c>
      <c r="R16" s="813"/>
      <c r="S16" s="827">
        <v>6</v>
      </c>
      <c r="T16" s="828">
        <v>0</v>
      </c>
      <c r="U16" s="828">
        <v>0</v>
      </c>
      <c r="V16" s="828">
        <v>0.14069727683793501</v>
      </c>
      <c r="W16" s="813">
        <v>109.08340322097401</v>
      </c>
      <c r="X16" s="819"/>
      <c r="Y16" s="819"/>
      <c r="Z16" s="819"/>
      <c r="AA16" s="819"/>
      <c r="AB16" s="819"/>
      <c r="AC16" s="819"/>
      <c r="AD16" s="819"/>
      <c r="AE16" s="819"/>
      <c r="AF16" s="819"/>
      <c r="AG16" s="819"/>
      <c r="AH16" s="819"/>
      <c r="AI16" s="819"/>
      <c r="AJ16" s="819"/>
      <c r="AK16" s="819"/>
      <c r="AL16" s="819"/>
      <c r="AM16" s="819"/>
      <c r="AN16" s="819"/>
      <c r="AO16" s="819"/>
      <c r="AP16" s="819"/>
      <c r="AQ16" s="819"/>
      <c r="AR16" s="819"/>
      <c r="AS16" s="819"/>
      <c r="AT16" s="819"/>
      <c r="AU16" s="819"/>
      <c r="AV16" s="819"/>
      <c r="AW16" s="819"/>
      <c r="AX16" s="819"/>
      <c r="AY16" s="819"/>
      <c r="AZ16" s="819"/>
      <c r="BA16" s="819"/>
      <c r="BB16" s="819"/>
      <c r="BC16" s="819"/>
      <c r="BD16" s="819"/>
      <c r="BE16" s="819"/>
      <c r="BF16" s="819"/>
      <c r="BG16" s="819"/>
      <c r="BH16" s="819"/>
      <c r="BI16" s="819"/>
      <c r="BJ16" s="819"/>
      <c r="BK16" s="819"/>
      <c r="BL16" s="819"/>
      <c r="BM16" s="819"/>
      <c r="BN16" s="819"/>
      <c r="BO16" s="819"/>
      <c r="BP16" s="819"/>
    </row>
    <row r="17" spans="1:23" x14ac:dyDescent="0.25">
      <c r="A17" s="819" t="s">
        <v>745</v>
      </c>
      <c r="B17" s="824">
        <v>8</v>
      </c>
      <c r="C17" s="829" t="s">
        <v>746</v>
      </c>
      <c r="D17" s="826">
        <f t="shared" si="0"/>
        <v>0</v>
      </c>
      <c r="E17" s="813">
        <v>0</v>
      </c>
      <c r="F17" s="813">
        <v>0</v>
      </c>
      <c r="G17" s="813">
        <v>0</v>
      </c>
      <c r="H17" s="813"/>
      <c r="I17" s="813">
        <f t="shared" si="1"/>
        <v>0</v>
      </c>
      <c r="J17" s="813">
        <v>0</v>
      </c>
      <c r="K17" s="813">
        <v>0</v>
      </c>
      <c r="L17" s="813">
        <v>0</v>
      </c>
      <c r="M17" s="813"/>
      <c r="N17" s="813">
        <f t="shared" si="2"/>
        <v>0</v>
      </c>
      <c r="O17" s="813">
        <v>0</v>
      </c>
      <c r="P17" s="813">
        <v>0</v>
      </c>
      <c r="Q17" s="813">
        <v>0</v>
      </c>
      <c r="R17" s="813"/>
      <c r="S17" s="827">
        <v>0</v>
      </c>
      <c r="T17" s="828">
        <v>0</v>
      </c>
      <c r="U17" s="828">
        <v>0</v>
      </c>
      <c r="V17" s="828">
        <v>0</v>
      </c>
      <c r="W17" s="813">
        <v>0</v>
      </c>
    </row>
    <row r="18" spans="1:23" x14ac:dyDescent="0.25">
      <c r="B18" s="832">
        <v>9</v>
      </c>
      <c r="C18" s="833" t="s">
        <v>747</v>
      </c>
      <c r="D18" s="826">
        <f t="shared" si="0"/>
        <v>0</v>
      </c>
      <c r="E18" s="813">
        <v>0</v>
      </c>
      <c r="F18" s="813">
        <v>0</v>
      </c>
      <c r="G18" s="813">
        <v>0</v>
      </c>
      <c r="H18" s="834"/>
      <c r="I18" s="813">
        <f t="shared" si="1"/>
        <v>0</v>
      </c>
      <c r="J18" s="813">
        <v>0</v>
      </c>
      <c r="K18" s="813">
        <v>0</v>
      </c>
      <c r="L18" s="813">
        <v>0</v>
      </c>
      <c r="M18" s="834"/>
      <c r="N18" s="813">
        <f t="shared" si="2"/>
        <v>0</v>
      </c>
      <c r="O18" s="813">
        <v>0</v>
      </c>
      <c r="P18" s="813">
        <v>0</v>
      </c>
      <c r="Q18" s="813">
        <v>0</v>
      </c>
      <c r="R18" s="834"/>
      <c r="S18" s="827">
        <v>0</v>
      </c>
      <c r="T18" s="828">
        <v>0</v>
      </c>
      <c r="U18" s="828">
        <v>0</v>
      </c>
      <c r="V18" s="828">
        <v>0</v>
      </c>
      <c r="W18" s="813">
        <v>0</v>
      </c>
    </row>
    <row r="19" spans="1:23" x14ac:dyDescent="0.25">
      <c r="B19" s="824">
        <v>10</v>
      </c>
      <c r="C19" s="835" t="s">
        <v>748</v>
      </c>
      <c r="D19" s="826">
        <f t="shared" si="0"/>
        <v>16767922.91</v>
      </c>
      <c r="E19" s="813">
        <f>SUM(E7:E13,E17,E18)</f>
        <v>16068456.68</v>
      </c>
      <c r="F19" s="813">
        <f>SUM(F7:F13,F17,F18)</f>
        <v>370341.64999999997</v>
      </c>
      <c r="G19" s="813">
        <f>SUM(G7:G13,G17,G18)</f>
        <v>329124.57999999996</v>
      </c>
      <c r="H19" s="813"/>
      <c r="I19" s="813">
        <f>SUM(I7:I13,I17,I18)</f>
        <v>16886310.848282803</v>
      </c>
      <c r="J19" s="813">
        <f>SUM(J7:J13,J17,J18)</f>
        <v>16164141.072921202</v>
      </c>
      <c r="K19" s="813">
        <f>SUM(K7:K13,K17,K18)</f>
        <v>381867.30328239995</v>
      </c>
      <c r="L19" s="813">
        <f>SUM(L7:L13,L17,L18)</f>
        <v>340302.47207919997</v>
      </c>
      <c r="M19" s="813"/>
      <c r="N19" s="813">
        <f>SUM(N7:N13,N17,N18)</f>
        <v>606648.32698719285</v>
      </c>
      <c r="O19" s="813">
        <f>SUM(O7:O13,O17,O18)</f>
        <v>324288.98539366305</v>
      </c>
      <c r="P19" s="813">
        <f>SUM(P7:P13,P17,P18)</f>
        <v>92860.266540199998</v>
      </c>
      <c r="Q19" s="813">
        <f>SUM(Q7:Q13,Q17,Q18)</f>
        <v>189499.07505332999</v>
      </c>
      <c r="R19" s="813"/>
      <c r="S19" s="916">
        <v>1284</v>
      </c>
      <c r="T19" s="917">
        <v>0.25071168739359301</v>
      </c>
      <c r="U19" s="917">
        <v>0.29546253016177498</v>
      </c>
      <c r="V19" s="917">
        <v>0.193378037050183</v>
      </c>
      <c r="W19" s="814">
        <v>49.607680601659801</v>
      </c>
    </row>
    <row r="20" spans="1:23" ht="25.5" x14ac:dyDescent="0.25">
      <c r="B20" s="836">
        <v>10.1</v>
      </c>
      <c r="C20" s="837" t="s">
        <v>749</v>
      </c>
      <c r="D20" s="827"/>
      <c r="E20" s="813"/>
      <c r="F20" s="813"/>
      <c r="G20" s="813"/>
      <c r="H20" s="813"/>
      <c r="I20" s="813">
        <f t="shared" ref="I20" si="3">SUM(J20:M20)</f>
        <v>0</v>
      </c>
      <c r="J20" s="813"/>
      <c r="K20" s="813"/>
      <c r="L20" s="813"/>
      <c r="M20" s="813"/>
      <c r="N20" s="813">
        <f t="shared" ref="N20" si="4">O20+P20+Q20</f>
        <v>0</v>
      </c>
      <c r="O20" s="813"/>
      <c r="P20" s="813"/>
      <c r="Q20" s="813"/>
      <c r="R20" s="813"/>
      <c r="S20" s="827"/>
      <c r="T20" s="827"/>
      <c r="U20" s="827"/>
      <c r="V20" s="827"/>
      <c r="W20" s="827"/>
    </row>
    <row r="22" spans="1:23" x14ac:dyDescent="0.25">
      <c r="C22" s="838"/>
      <c r="D22" s="839"/>
    </row>
    <row r="23" spans="1:23" s="274" customFormat="1" x14ac:dyDescent="0.25">
      <c r="D23" s="293">
        <v>0</v>
      </c>
      <c r="E23" s="293">
        <v>0</v>
      </c>
      <c r="F23" s="293">
        <v>0</v>
      </c>
      <c r="G23" s="293">
        <v>0</v>
      </c>
      <c r="H23" s="293"/>
      <c r="I23" s="293">
        <v>0</v>
      </c>
      <c r="J23" s="293">
        <v>0</v>
      </c>
      <c r="K23" s="293"/>
      <c r="L23" s="293"/>
      <c r="M23" s="293"/>
      <c r="N23" s="293">
        <v>0</v>
      </c>
      <c r="O23" s="293"/>
      <c r="P23" s="293">
        <f t="shared" ref="P23:S23" si="5">SUM(P7:P18)-P19-P14-P15-P16</f>
        <v>0</v>
      </c>
      <c r="Q23" s="293">
        <f>SUM(Q7:Q18)-Q19-Q14-Q15-Q16</f>
        <v>0</v>
      </c>
      <c r="R23" s="293">
        <f t="shared" si="5"/>
        <v>0</v>
      </c>
      <c r="S23" s="293">
        <f t="shared" si="5"/>
        <v>0</v>
      </c>
      <c r="T23" s="840"/>
      <c r="U23" s="840"/>
      <c r="V23" s="841"/>
      <c r="W23" s="842"/>
    </row>
    <row r="24" spans="1:23" x14ac:dyDescent="0.25">
      <c r="D24" s="839"/>
    </row>
    <row r="25" spans="1:23" x14ac:dyDescent="0.25">
      <c r="D25" s="839"/>
      <c r="E25" s="839"/>
    </row>
    <row r="26" spans="1:23" x14ac:dyDescent="0.25">
      <c r="I26" s="839"/>
    </row>
    <row r="27" spans="1:23" x14ac:dyDescent="0.25">
      <c r="I27" s="839"/>
    </row>
  </sheetData>
  <mergeCells count="9">
    <mergeCell ref="U5:U6"/>
    <mergeCell ref="V5:V6"/>
    <mergeCell ref="W5:W6"/>
    <mergeCell ref="B5:C6"/>
    <mergeCell ref="D5:H5"/>
    <mergeCell ref="I5:M5"/>
    <mergeCell ref="N5:R5"/>
    <mergeCell ref="S5:S6"/>
    <mergeCell ref="T5:T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47A3F-470A-468A-886B-147DA1C0C954}">
  <dimension ref="A1:H71"/>
  <sheetViews>
    <sheetView topLeftCell="A16" zoomScaleNormal="100" workbookViewId="0">
      <selection activeCell="C7" sqref="C7:H69"/>
    </sheetView>
  </sheetViews>
  <sheetFormatPr defaultRowHeight="15" x14ac:dyDescent="0.25"/>
  <cols>
    <col min="1" max="1" width="9.140625" style="173"/>
    <col min="2" max="2" width="69.28515625" style="174" customWidth="1"/>
    <col min="3" max="3" width="15.7109375" style="59" customWidth="1"/>
    <col min="4" max="4" width="14.42578125" style="59" customWidth="1"/>
    <col min="5" max="5" width="13.140625" style="59" customWidth="1"/>
    <col min="6" max="6" width="15.140625" style="59" customWidth="1"/>
    <col min="7" max="7" width="13.42578125" style="59" customWidth="1"/>
    <col min="8" max="8" width="13.140625" style="59" customWidth="1"/>
    <col min="9" max="9" width="3" customWidth="1"/>
  </cols>
  <sheetData>
    <row r="1" spans="1:8" ht="15.75" x14ac:dyDescent="0.3">
      <c r="A1" s="23" t="s">
        <v>41</v>
      </c>
      <c r="B1" s="24" t="str">
        <f>Info!C2</f>
        <v>სს სილქ ბანკი</v>
      </c>
      <c r="C1" s="130"/>
      <c r="D1" s="131"/>
      <c r="E1" s="131"/>
      <c r="F1" s="131"/>
      <c r="G1" s="131"/>
    </row>
    <row r="2" spans="1:8" ht="15.75" x14ac:dyDescent="0.3">
      <c r="A2" s="23" t="s">
        <v>42</v>
      </c>
      <c r="B2" s="26">
        <f>'1. key ratios'!B2</f>
        <v>45291</v>
      </c>
      <c r="C2" s="130"/>
      <c r="D2" s="131"/>
      <c r="E2" s="131"/>
      <c r="F2" s="131"/>
      <c r="G2" s="131"/>
    </row>
    <row r="3" spans="1:8" ht="16.5" thickBot="1" x14ac:dyDescent="0.35">
      <c r="A3" s="23"/>
      <c r="B3" s="25"/>
      <c r="C3" s="130"/>
      <c r="D3" s="131"/>
      <c r="E3" s="131"/>
      <c r="F3" s="131"/>
      <c r="G3" s="131"/>
    </row>
    <row r="4" spans="1:8" ht="40.5" customHeight="1" x14ac:dyDescent="0.25">
      <c r="A4" s="132" t="s">
        <v>46</v>
      </c>
      <c r="B4" s="133" t="s">
        <v>91</v>
      </c>
      <c r="C4" s="134" t="s">
        <v>92</v>
      </c>
      <c r="D4" s="134"/>
      <c r="E4" s="134"/>
      <c r="F4" s="134" t="s">
        <v>93</v>
      </c>
      <c r="G4" s="134"/>
      <c r="H4" s="135"/>
    </row>
    <row r="5" spans="1:8" ht="21" customHeight="1" x14ac:dyDescent="0.25">
      <c r="A5" s="132"/>
      <c r="B5" s="137"/>
      <c r="C5" s="138" t="s">
        <v>94</v>
      </c>
      <c r="D5" s="138" t="s">
        <v>95</v>
      </c>
      <c r="E5" s="138" t="s">
        <v>96</v>
      </c>
      <c r="F5" s="138" t="s">
        <v>94</v>
      </c>
      <c r="G5" s="138" t="s">
        <v>95</v>
      </c>
      <c r="H5" s="138" t="s">
        <v>96</v>
      </c>
    </row>
    <row r="6" spans="1:8" ht="26.45" customHeight="1" x14ac:dyDescent="0.25">
      <c r="A6" s="132"/>
      <c r="B6" s="139" t="s">
        <v>97</v>
      </c>
      <c r="C6" s="140"/>
      <c r="D6" s="141"/>
      <c r="E6" s="141"/>
      <c r="F6" s="141"/>
      <c r="G6" s="141"/>
      <c r="H6" s="142"/>
    </row>
    <row r="7" spans="1:8" ht="23.1" customHeight="1" x14ac:dyDescent="0.25">
      <c r="A7" s="143">
        <v>1</v>
      </c>
      <c r="B7" s="144" t="s">
        <v>98</v>
      </c>
      <c r="C7" s="145">
        <f>SUM(C8:C10)</f>
        <v>41392605.191618845</v>
      </c>
      <c r="D7" s="145">
        <f>SUM(D8:D10)</f>
        <v>12741184.650000025</v>
      </c>
      <c r="E7" s="146">
        <f>C7+D7</f>
        <v>54133789.841618866</v>
      </c>
      <c r="F7" s="145">
        <f>SUM(F8:F10)</f>
        <v>8246490.319999977</v>
      </c>
      <c r="G7" s="145">
        <f>SUM(G8:G10)</f>
        <v>4143651.9100000393</v>
      </c>
      <c r="H7" s="146">
        <f>F7+G7</f>
        <v>12390142.230000015</v>
      </c>
    </row>
    <row r="8" spans="1:8" x14ac:dyDescent="0.25">
      <c r="A8" s="143">
        <v>1.1000000000000001</v>
      </c>
      <c r="B8" s="147" t="s">
        <v>99</v>
      </c>
      <c r="C8" s="145">
        <v>1043516.549999997</v>
      </c>
      <c r="D8" s="145">
        <v>1400059.9599999974</v>
      </c>
      <c r="E8" s="146">
        <f t="shared" ref="E8:E36" si="0">C8+D8</f>
        <v>2443576.5099999942</v>
      </c>
      <c r="F8" s="145">
        <v>894230.83000000473</v>
      </c>
      <c r="G8" s="145">
        <v>1493006.9400000034</v>
      </c>
      <c r="H8" s="146">
        <f t="shared" ref="H8:H36" si="1">F8+G8</f>
        <v>2387237.7700000079</v>
      </c>
    </row>
    <row r="9" spans="1:8" x14ac:dyDescent="0.25">
      <c r="A9" s="143">
        <v>1.2</v>
      </c>
      <c r="B9" s="147" t="s">
        <v>100</v>
      </c>
      <c r="C9" s="145">
        <v>182563.29999995232</v>
      </c>
      <c r="D9" s="145">
        <v>2871077.0599999917</v>
      </c>
      <c r="E9" s="146">
        <f t="shared" si="0"/>
        <v>3053640.359999944</v>
      </c>
      <c r="F9" s="145">
        <v>84634.02999997139</v>
      </c>
      <c r="G9" s="145">
        <v>1962917.3900000046</v>
      </c>
      <c r="H9" s="146">
        <f t="shared" si="1"/>
        <v>2047551.4199999759</v>
      </c>
    </row>
    <row r="10" spans="1:8" x14ac:dyDescent="0.25">
      <c r="A10" s="143">
        <v>1.3</v>
      </c>
      <c r="B10" s="147" t="s">
        <v>101</v>
      </c>
      <c r="C10" s="148">
        <v>40166525.341618896</v>
      </c>
      <c r="D10" s="148">
        <v>8470047.6300000362</v>
      </c>
      <c r="E10" s="146">
        <f t="shared" si="0"/>
        <v>48636572.971618935</v>
      </c>
      <c r="F10" s="145">
        <v>7267625.4600000009</v>
      </c>
      <c r="G10" s="145">
        <v>687727.58000003104</v>
      </c>
      <c r="H10" s="146">
        <f t="shared" si="1"/>
        <v>7955353.0400000317</v>
      </c>
    </row>
    <row r="11" spans="1:8" x14ac:dyDescent="0.25">
      <c r="A11" s="143">
        <v>2</v>
      </c>
      <c r="B11" s="149" t="s">
        <v>102</v>
      </c>
      <c r="C11" s="145">
        <f>C12</f>
        <v>103879.78193583728</v>
      </c>
      <c r="D11" s="145">
        <f>D12</f>
        <v>30416.830000000016</v>
      </c>
      <c r="E11" s="146">
        <f t="shared" si="0"/>
        <v>134296.61193583731</v>
      </c>
      <c r="F11" s="145">
        <f>F12</f>
        <v>37020.400000000023</v>
      </c>
      <c r="G11" s="145">
        <f>G12</f>
        <v>0</v>
      </c>
      <c r="H11" s="146">
        <f t="shared" si="1"/>
        <v>37020.400000000023</v>
      </c>
    </row>
    <row r="12" spans="1:8" x14ac:dyDescent="0.25">
      <c r="A12" s="143">
        <v>2.1</v>
      </c>
      <c r="B12" s="150" t="s">
        <v>103</v>
      </c>
      <c r="C12" s="145">
        <v>103879.78193583728</v>
      </c>
      <c r="D12" s="145">
        <v>30416.830000000016</v>
      </c>
      <c r="E12" s="146">
        <f t="shared" si="0"/>
        <v>134296.61193583731</v>
      </c>
      <c r="F12" s="145">
        <v>37020.400000000023</v>
      </c>
      <c r="G12" s="145">
        <v>0</v>
      </c>
      <c r="H12" s="146">
        <f t="shared" si="1"/>
        <v>37020.400000000023</v>
      </c>
    </row>
    <row r="13" spans="1:8" ht="26.45" customHeight="1" x14ac:dyDescent="0.25">
      <c r="A13" s="143">
        <v>3</v>
      </c>
      <c r="B13" s="151" t="s">
        <v>104</v>
      </c>
      <c r="C13" s="145"/>
      <c r="D13" s="145"/>
      <c r="E13" s="146">
        <f t="shared" si="0"/>
        <v>0</v>
      </c>
      <c r="F13" s="145"/>
      <c r="G13" s="145"/>
      <c r="H13" s="146">
        <f t="shared" si="1"/>
        <v>0</v>
      </c>
    </row>
    <row r="14" spans="1:8" ht="26.45" customHeight="1" x14ac:dyDescent="0.25">
      <c r="A14" s="143">
        <v>4</v>
      </c>
      <c r="B14" s="152" t="s">
        <v>105</v>
      </c>
      <c r="C14" s="145"/>
      <c r="D14" s="145"/>
      <c r="E14" s="146">
        <f t="shared" si="0"/>
        <v>0</v>
      </c>
      <c r="F14" s="145"/>
      <c r="G14" s="145"/>
      <c r="H14" s="146">
        <f t="shared" si="1"/>
        <v>0</v>
      </c>
    </row>
    <row r="15" spans="1:8" ht="24.6" customHeight="1" x14ac:dyDescent="0.25">
      <c r="A15" s="143">
        <v>5</v>
      </c>
      <c r="B15" s="152" t="s">
        <v>106</v>
      </c>
      <c r="C15" s="153">
        <f>SUM(C16:C18)</f>
        <v>20000</v>
      </c>
      <c r="D15" s="153">
        <f>SUM(D16:D18)</f>
        <v>0</v>
      </c>
      <c r="E15" s="154">
        <f t="shared" si="0"/>
        <v>20000</v>
      </c>
      <c r="F15" s="153">
        <f>SUM(F16:F18)</f>
        <v>20000</v>
      </c>
      <c r="G15" s="153">
        <f>SUM(G16:G18)</f>
        <v>0</v>
      </c>
      <c r="H15" s="154">
        <f t="shared" si="1"/>
        <v>20000</v>
      </c>
    </row>
    <row r="16" spans="1:8" x14ac:dyDescent="0.25">
      <c r="A16" s="143">
        <v>5.0999999999999996</v>
      </c>
      <c r="B16" s="155" t="s">
        <v>107</v>
      </c>
      <c r="C16" s="145">
        <v>20000</v>
      </c>
      <c r="D16" s="145"/>
      <c r="E16" s="146">
        <f t="shared" si="0"/>
        <v>20000</v>
      </c>
      <c r="F16" s="145">
        <v>20000</v>
      </c>
      <c r="G16" s="145">
        <v>0</v>
      </c>
      <c r="H16" s="146">
        <f t="shared" si="1"/>
        <v>20000</v>
      </c>
    </row>
    <row r="17" spans="1:8" x14ac:dyDescent="0.25">
      <c r="A17" s="143">
        <v>5.2</v>
      </c>
      <c r="B17" s="155" t="s">
        <v>108</v>
      </c>
      <c r="C17" s="145"/>
      <c r="D17" s="145"/>
      <c r="E17" s="146">
        <f t="shared" si="0"/>
        <v>0</v>
      </c>
      <c r="F17" s="145"/>
      <c r="G17" s="145"/>
      <c r="H17" s="146">
        <f t="shared" si="1"/>
        <v>0</v>
      </c>
    </row>
    <row r="18" spans="1:8" x14ac:dyDescent="0.25">
      <c r="A18" s="143">
        <v>5.3</v>
      </c>
      <c r="B18" s="155" t="s">
        <v>109</v>
      </c>
      <c r="C18" s="145"/>
      <c r="D18" s="145"/>
      <c r="E18" s="146">
        <f t="shared" si="0"/>
        <v>0</v>
      </c>
      <c r="F18" s="145"/>
      <c r="G18" s="145"/>
      <c r="H18" s="146">
        <f t="shared" si="1"/>
        <v>0</v>
      </c>
    </row>
    <row r="19" spans="1:8" x14ac:dyDescent="0.25">
      <c r="A19" s="143">
        <v>6</v>
      </c>
      <c r="B19" s="151" t="s">
        <v>110</v>
      </c>
      <c r="C19" s="145">
        <f>SUM(C20:C21)</f>
        <v>62379206.743106477</v>
      </c>
      <c r="D19" s="145">
        <f>SUM(D20:D21)</f>
        <v>19907202.468262773</v>
      </c>
      <c r="E19" s="146">
        <f t="shared" si="0"/>
        <v>82286409.211369246</v>
      </c>
      <c r="F19" s="145">
        <f>SUM(F20:F21)</f>
        <v>43853435.389864616</v>
      </c>
      <c r="G19" s="145">
        <f>SUM(G20:G21)</f>
        <v>7127927.6645942936</v>
      </c>
      <c r="H19" s="146">
        <f t="shared" si="1"/>
        <v>50981363.054458909</v>
      </c>
    </row>
    <row r="20" spans="1:8" x14ac:dyDescent="0.25">
      <c r="A20" s="143">
        <v>6.1</v>
      </c>
      <c r="B20" s="155" t="s">
        <v>108</v>
      </c>
      <c r="C20" s="145">
        <v>24999886.568560913</v>
      </c>
      <c r="D20" s="145">
        <v>2213884.3914239998</v>
      </c>
      <c r="E20" s="146">
        <f t="shared" si="0"/>
        <v>27213770.959984913</v>
      </c>
      <c r="F20" s="145">
        <v>32184825.741283435</v>
      </c>
      <c r="G20" s="145"/>
      <c r="H20" s="146">
        <f t="shared" si="1"/>
        <v>32184825.741283435</v>
      </c>
    </row>
    <row r="21" spans="1:8" x14ac:dyDescent="0.25">
      <c r="A21" s="143">
        <v>6.2</v>
      </c>
      <c r="B21" s="155" t="s">
        <v>109</v>
      </c>
      <c r="C21" s="145">
        <v>37379320.174545564</v>
      </c>
      <c r="D21" s="145">
        <v>17693318.076838773</v>
      </c>
      <c r="E21" s="146">
        <f t="shared" si="0"/>
        <v>55072638.251384333</v>
      </c>
      <c r="F21" s="148">
        <v>11668609.648581183</v>
      </c>
      <c r="G21" s="148">
        <v>7127927.6645942936</v>
      </c>
      <c r="H21" s="146">
        <f t="shared" si="1"/>
        <v>18796537.313175477</v>
      </c>
    </row>
    <row r="22" spans="1:8" x14ac:dyDescent="0.25">
      <c r="A22" s="143">
        <v>7</v>
      </c>
      <c r="B22" s="156" t="s">
        <v>111</v>
      </c>
      <c r="C22" s="145"/>
      <c r="D22" s="145"/>
      <c r="E22" s="146">
        <f t="shared" si="0"/>
        <v>0</v>
      </c>
      <c r="F22" s="145"/>
      <c r="G22" s="145"/>
      <c r="H22" s="146">
        <f t="shared" si="1"/>
        <v>0</v>
      </c>
    </row>
    <row r="23" spans="1:8" ht="21" x14ac:dyDescent="0.25">
      <c r="A23" s="143">
        <v>8</v>
      </c>
      <c r="B23" s="157" t="s">
        <v>112</v>
      </c>
      <c r="C23" s="145">
        <v>3651626.4593548691</v>
      </c>
      <c r="D23" s="145">
        <v>0</v>
      </c>
      <c r="E23" s="146">
        <f t="shared" si="0"/>
        <v>3651626.4593548691</v>
      </c>
      <c r="F23" s="145">
        <v>3286095.8751614019</v>
      </c>
      <c r="G23" s="145"/>
      <c r="H23" s="146">
        <f t="shared" si="1"/>
        <v>3286095.8751614019</v>
      </c>
    </row>
    <row r="24" spans="1:8" x14ac:dyDescent="0.25">
      <c r="A24" s="143">
        <v>9</v>
      </c>
      <c r="B24" s="152" t="s">
        <v>113</v>
      </c>
      <c r="C24" s="145">
        <f>SUM(C25:C26)</f>
        <v>20643828.830000006</v>
      </c>
      <c r="D24" s="145">
        <f>SUM(D25:D26)</f>
        <v>0</v>
      </c>
      <c r="E24" s="146">
        <f>C24+D24</f>
        <v>20643828.830000006</v>
      </c>
      <c r="F24" s="145">
        <f>SUM(F25:F26)</f>
        <v>19309322.230000004</v>
      </c>
      <c r="G24" s="145">
        <f>SUM(G25:G26)</f>
        <v>0</v>
      </c>
      <c r="H24" s="146">
        <f t="shared" si="1"/>
        <v>19309322.230000004</v>
      </c>
    </row>
    <row r="25" spans="1:8" x14ac:dyDescent="0.25">
      <c r="A25" s="143">
        <v>9.1</v>
      </c>
      <c r="B25" s="158" t="s">
        <v>114</v>
      </c>
      <c r="C25" s="145">
        <v>20643828.830000006</v>
      </c>
      <c r="D25" s="145"/>
      <c r="E25" s="146">
        <f>C25+D25</f>
        <v>20643828.830000006</v>
      </c>
      <c r="F25" s="145">
        <v>19309322.230000004</v>
      </c>
      <c r="G25" s="145"/>
      <c r="H25" s="146">
        <f t="shared" si="1"/>
        <v>19309322.230000004</v>
      </c>
    </row>
    <row r="26" spans="1:8" x14ac:dyDescent="0.25">
      <c r="A26" s="143">
        <v>9.1999999999999993</v>
      </c>
      <c r="B26" s="158" t="s">
        <v>115</v>
      </c>
      <c r="C26" s="145"/>
      <c r="D26" s="145"/>
      <c r="E26" s="146">
        <f>C26+D26</f>
        <v>0</v>
      </c>
      <c r="F26" s="145"/>
      <c r="G26" s="145"/>
      <c r="H26" s="146">
        <f t="shared" si="1"/>
        <v>0</v>
      </c>
    </row>
    <row r="27" spans="1:8" x14ac:dyDescent="0.25">
      <c r="A27" s="143">
        <v>10</v>
      </c>
      <c r="B27" s="152" t="s">
        <v>116</v>
      </c>
      <c r="C27" s="145">
        <f>SUM(C28:C29)</f>
        <v>1120485.0400000012</v>
      </c>
      <c r="D27" s="145">
        <f>SUM(D28:D29)</f>
        <v>0</v>
      </c>
      <c r="E27" s="146">
        <f t="shared" si="0"/>
        <v>1120485.0400000012</v>
      </c>
      <c r="F27" s="145">
        <v>278009.04000000027</v>
      </c>
      <c r="G27" s="145">
        <f>SUM(G28:G29)</f>
        <v>0</v>
      </c>
      <c r="H27" s="146">
        <f t="shared" si="1"/>
        <v>278009.04000000027</v>
      </c>
    </row>
    <row r="28" spans="1:8" x14ac:dyDescent="0.25">
      <c r="A28" s="143">
        <v>10.1</v>
      </c>
      <c r="B28" s="158" t="s">
        <v>117</v>
      </c>
      <c r="C28" s="145"/>
      <c r="D28" s="145"/>
      <c r="E28" s="146">
        <f t="shared" si="0"/>
        <v>0</v>
      </c>
      <c r="F28" s="145"/>
      <c r="G28" s="145"/>
      <c r="H28" s="146">
        <f t="shared" si="1"/>
        <v>0</v>
      </c>
    </row>
    <row r="29" spans="1:8" x14ac:dyDescent="0.25">
      <c r="A29" s="143">
        <v>10.199999999999999</v>
      </c>
      <c r="B29" s="158" t="s">
        <v>118</v>
      </c>
      <c r="C29" s="145">
        <v>1120485.0400000012</v>
      </c>
      <c r="D29" s="145"/>
      <c r="E29" s="146">
        <f t="shared" si="0"/>
        <v>1120485.0400000012</v>
      </c>
      <c r="F29" s="145">
        <v>278009.04000000027</v>
      </c>
      <c r="G29" s="145"/>
      <c r="H29" s="146">
        <f t="shared" si="1"/>
        <v>278009.04000000027</v>
      </c>
    </row>
    <row r="30" spans="1:8" x14ac:dyDescent="0.25">
      <c r="A30" s="143">
        <v>11</v>
      </c>
      <c r="B30" s="152" t="s">
        <v>119</v>
      </c>
      <c r="C30" s="145">
        <f>SUM(C31:C32)</f>
        <v>45248.5</v>
      </c>
      <c r="D30" s="145">
        <f>SUM(D31:D32)</f>
        <v>0</v>
      </c>
      <c r="E30" s="146">
        <f t="shared" si="0"/>
        <v>45248.5</v>
      </c>
      <c r="F30" s="145">
        <f>SUM(F31:F32)</f>
        <v>45248.5</v>
      </c>
      <c r="G30" s="145">
        <f>SUM(G31:G32)</f>
        <v>0</v>
      </c>
      <c r="H30" s="146">
        <f t="shared" si="1"/>
        <v>45248.5</v>
      </c>
    </row>
    <row r="31" spans="1:8" x14ac:dyDescent="0.25">
      <c r="A31" s="143">
        <v>11.1</v>
      </c>
      <c r="B31" s="158" t="s">
        <v>120</v>
      </c>
      <c r="C31" s="145">
        <v>45248.5</v>
      </c>
      <c r="D31" s="145"/>
      <c r="E31" s="146">
        <f t="shared" si="0"/>
        <v>45248.5</v>
      </c>
      <c r="F31" s="145">
        <v>45248.5</v>
      </c>
      <c r="G31" s="145">
        <v>0</v>
      </c>
      <c r="H31" s="146">
        <f t="shared" si="1"/>
        <v>45248.5</v>
      </c>
    </row>
    <row r="32" spans="1:8" x14ac:dyDescent="0.25">
      <c r="A32" s="143">
        <v>11.2</v>
      </c>
      <c r="B32" s="158" t="s">
        <v>121</v>
      </c>
      <c r="C32" s="145"/>
      <c r="D32" s="145"/>
      <c r="E32" s="146">
        <f t="shared" si="0"/>
        <v>0</v>
      </c>
      <c r="F32" s="145"/>
      <c r="G32" s="145"/>
      <c r="H32" s="146">
        <f t="shared" si="1"/>
        <v>0</v>
      </c>
    </row>
    <row r="33" spans="1:8" x14ac:dyDescent="0.25">
      <c r="A33" s="143">
        <v>13</v>
      </c>
      <c r="B33" s="152" t="s">
        <v>122</v>
      </c>
      <c r="C33" s="148">
        <v>4994711.71</v>
      </c>
      <c r="D33" s="148">
        <v>38863.100000000006</v>
      </c>
      <c r="E33" s="146">
        <f t="shared" si="0"/>
        <v>5033574.8099999996</v>
      </c>
      <c r="F33" s="145">
        <v>1402100.42</v>
      </c>
      <c r="G33" s="145">
        <v>6741.860000000016</v>
      </c>
      <c r="H33" s="146">
        <f t="shared" si="1"/>
        <v>1408842.28</v>
      </c>
    </row>
    <row r="34" spans="1:8" x14ac:dyDescent="0.25">
      <c r="A34" s="143">
        <v>13.1</v>
      </c>
      <c r="B34" s="159" t="s">
        <v>123</v>
      </c>
      <c r="C34" s="145"/>
      <c r="D34" s="145"/>
      <c r="E34" s="146">
        <f t="shared" si="0"/>
        <v>0</v>
      </c>
      <c r="F34" s="145"/>
      <c r="G34" s="145"/>
      <c r="H34" s="146">
        <f t="shared" si="1"/>
        <v>0</v>
      </c>
    </row>
    <row r="35" spans="1:8" x14ac:dyDescent="0.25">
      <c r="A35" s="143">
        <v>13.2</v>
      </c>
      <c r="B35" s="159" t="s">
        <v>124</v>
      </c>
      <c r="C35" s="145"/>
      <c r="D35" s="145"/>
      <c r="E35" s="146">
        <f t="shared" si="0"/>
        <v>0</v>
      </c>
      <c r="F35" s="145"/>
      <c r="G35" s="145"/>
      <c r="H35" s="146">
        <f t="shared" si="1"/>
        <v>0</v>
      </c>
    </row>
    <row r="36" spans="1:8" x14ac:dyDescent="0.25">
      <c r="A36" s="143">
        <v>14</v>
      </c>
      <c r="B36" s="160" t="s">
        <v>125</v>
      </c>
      <c r="C36" s="145">
        <f>SUM(C7,C11,C13,C14,C15,C19,C22,C23,C24,C27,C30,C33)</f>
        <v>134351592.25601602</v>
      </c>
      <c r="D36" s="145">
        <f>SUM(D7,D11,D13,D14,D15,D19,D22,D23,D24,D27,D30,D33)</f>
        <v>32717667.048262797</v>
      </c>
      <c r="E36" s="146">
        <f t="shared" si="0"/>
        <v>167069259.30427882</v>
      </c>
      <c r="F36" s="145">
        <f>SUM(F7,F11,F13,F14,F15,F19,F22,F23,F24,F27,F30,F33)</f>
        <v>76477722.175026</v>
      </c>
      <c r="G36" s="145">
        <f>SUM(G7,G11,G13,G14,G15,G19,G22,G23,G24,G27,G30,G33)</f>
        <v>11278321.434594333</v>
      </c>
      <c r="H36" s="146">
        <f t="shared" si="1"/>
        <v>87756043.609620333</v>
      </c>
    </row>
    <row r="37" spans="1:8" ht="22.5" customHeight="1" x14ac:dyDescent="0.25">
      <c r="A37" s="143"/>
      <c r="B37" s="161" t="s">
        <v>126</v>
      </c>
      <c r="C37" s="162"/>
      <c r="D37" s="163"/>
      <c r="E37" s="163"/>
      <c r="F37" s="163"/>
      <c r="G37" s="163"/>
      <c r="H37" s="164"/>
    </row>
    <row r="38" spans="1:8" x14ac:dyDescent="0.25">
      <c r="A38" s="143">
        <v>15</v>
      </c>
      <c r="B38" s="165" t="s">
        <v>127</v>
      </c>
      <c r="C38" s="145">
        <f>C39</f>
        <v>240.22999999998137</v>
      </c>
      <c r="D38" s="145">
        <f>D39</f>
        <v>0</v>
      </c>
      <c r="E38" s="146">
        <f>C38+D38</f>
        <v>240.22999999998137</v>
      </c>
      <c r="F38" s="145">
        <f>F39</f>
        <v>82445.661205882876</v>
      </c>
      <c r="G38" s="145">
        <f>G39</f>
        <v>1602.1925999999512</v>
      </c>
      <c r="H38" s="146">
        <f>F38+G38</f>
        <v>84047.853805882827</v>
      </c>
    </row>
    <row r="39" spans="1:8" x14ac:dyDescent="0.25">
      <c r="A39" s="143">
        <v>15.1</v>
      </c>
      <c r="B39" s="150" t="s">
        <v>103</v>
      </c>
      <c r="C39" s="145">
        <v>240.22999999998137</v>
      </c>
      <c r="D39" s="145">
        <v>0</v>
      </c>
      <c r="E39" s="146">
        <f t="shared" ref="E39:E53" si="2">C39+D39</f>
        <v>240.22999999998137</v>
      </c>
      <c r="F39" s="145">
        <v>82445.661205882876</v>
      </c>
      <c r="G39" s="145">
        <v>1602.1925999999512</v>
      </c>
      <c r="H39" s="146">
        <f t="shared" ref="H39:H53" si="3">F39+G39</f>
        <v>84047.853805882827</v>
      </c>
    </row>
    <row r="40" spans="1:8" ht="24" customHeight="1" x14ac:dyDescent="0.25">
      <c r="A40" s="143">
        <v>16</v>
      </c>
      <c r="B40" s="166" t="s">
        <v>128</v>
      </c>
      <c r="C40" s="145"/>
      <c r="D40" s="145"/>
      <c r="E40" s="146">
        <f t="shared" si="2"/>
        <v>0</v>
      </c>
      <c r="F40" s="145"/>
      <c r="G40" s="145"/>
      <c r="H40" s="146">
        <f t="shared" si="3"/>
        <v>0</v>
      </c>
    </row>
    <row r="41" spans="1:8" ht="21" x14ac:dyDescent="0.25">
      <c r="A41" s="143">
        <v>17</v>
      </c>
      <c r="B41" s="166" t="s">
        <v>129</v>
      </c>
      <c r="C41" s="145">
        <f>SUM(C42:C45)</f>
        <v>79802951.652684465</v>
      </c>
      <c r="D41" s="145">
        <f>SUM(D42:D45)</f>
        <v>22232761.02</v>
      </c>
      <c r="E41" s="146">
        <f t="shared" si="2"/>
        <v>102035712.67268446</v>
      </c>
      <c r="F41" s="145">
        <f>SUM(F42:F45)</f>
        <v>18050649.804842014</v>
      </c>
      <c r="G41" s="145">
        <f>SUM(G42:G45)</f>
        <v>7165551.0599999968</v>
      </c>
      <c r="H41" s="146">
        <f t="shared" si="3"/>
        <v>25216200.864842013</v>
      </c>
    </row>
    <row r="42" spans="1:8" x14ac:dyDescent="0.25">
      <c r="A42" s="143">
        <v>17.100000000000001</v>
      </c>
      <c r="B42" s="168" t="s">
        <v>130</v>
      </c>
      <c r="C42" s="148">
        <v>79776058.112684458</v>
      </c>
      <c r="D42" s="148">
        <v>20860537.649999999</v>
      </c>
      <c r="E42" s="146">
        <f t="shared" si="2"/>
        <v>100636595.76268446</v>
      </c>
      <c r="F42" s="148">
        <v>7988426.3448420307</v>
      </c>
      <c r="G42" s="148">
        <v>6907730.9399999967</v>
      </c>
      <c r="H42" s="146">
        <f t="shared" si="3"/>
        <v>14896157.284842027</v>
      </c>
    </row>
    <row r="43" spans="1:8" x14ac:dyDescent="0.25">
      <c r="A43" s="143">
        <v>17.2</v>
      </c>
      <c r="B43" s="147" t="s">
        <v>131</v>
      </c>
      <c r="C43" s="145">
        <v>0</v>
      </c>
      <c r="D43" s="145">
        <v>0</v>
      </c>
      <c r="E43" s="146">
        <f t="shared" si="2"/>
        <v>0</v>
      </c>
      <c r="F43" s="145">
        <v>10027443.879999984</v>
      </c>
      <c r="G43" s="145">
        <v>0</v>
      </c>
      <c r="H43" s="146">
        <f t="shared" si="3"/>
        <v>10027443.879999984</v>
      </c>
    </row>
    <row r="44" spans="1:8" x14ac:dyDescent="0.25">
      <c r="A44" s="143">
        <v>17.3</v>
      </c>
      <c r="B44" s="168" t="s">
        <v>132</v>
      </c>
      <c r="C44" s="145"/>
      <c r="D44" s="145"/>
      <c r="E44" s="146">
        <f t="shared" si="2"/>
        <v>0</v>
      </c>
      <c r="F44" s="145"/>
      <c r="G44" s="145"/>
      <c r="H44" s="146">
        <f t="shared" si="3"/>
        <v>0</v>
      </c>
    </row>
    <row r="45" spans="1:8" x14ac:dyDescent="0.25">
      <c r="A45" s="143">
        <v>17.399999999999999</v>
      </c>
      <c r="B45" s="168" t="s">
        <v>133</v>
      </c>
      <c r="C45" s="148">
        <v>26893.540000000074</v>
      </c>
      <c r="D45" s="148">
        <v>1372223.3699999999</v>
      </c>
      <c r="E45" s="146">
        <f t="shared" si="2"/>
        <v>1399116.91</v>
      </c>
      <c r="F45" s="148">
        <v>34779.580000000009</v>
      </c>
      <c r="G45" s="148">
        <v>257820.12000000002</v>
      </c>
      <c r="H45" s="146">
        <f t="shared" si="3"/>
        <v>292599.7</v>
      </c>
    </row>
    <row r="46" spans="1:8" x14ac:dyDescent="0.25">
      <c r="A46" s="143">
        <v>18</v>
      </c>
      <c r="B46" s="152" t="s">
        <v>134</v>
      </c>
      <c r="C46" s="145">
        <v>26456.311641654211</v>
      </c>
      <c r="D46" s="145">
        <v>29558.818441389762</v>
      </c>
      <c r="E46" s="146">
        <f t="shared" si="2"/>
        <v>56015.130083043972</v>
      </c>
      <c r="F46" s="148">
        <v>5240</v>
      </c>
      <c r="G46" s="145">
        <v>5136.793454215941</v>
      </c>
      <c r="H46" s="146">
        <f t="shared" si="3"/>
        <v>10376.793454215942</v>
      </c>
    </row>
    <row r="47" spans="1:8" x14ac:dyDescent="0.25">
      <c r="A47" s="143">
        <v>19</v>
      </c>
      <c r="B47" s="152" t="s">
        <v>135</v>
      </c>
      <c r="C47" s="145">
        <f>SUM(C48:C49)</f>
        <v>1831361.398579011</v>
      </c>
      <c r="D47" s="145">
        <f>SUM(D48:D49)</f>
        <v>0</v>
      </c>
      <c r="E47" s="146">
        <f t="shared" si="2"/>
        <v>1831361.398579011</v>
      </c>
      <c r="F47" s="145">
        <f>SUM(F48:F49)</f>
        <v>1752441.5988421449</v>
      </c>
      <c r="G47" s="145">
        <f>SUM(G48:G49)</f>
        <v>0</v>
      </c>
      <c r="H47" s="146">
        <f t="shared" si="3"/>
        <v>1752441.5988421449</v>
      </c>
    </row>
    <row r="48" spans="1:8" x14ac:dyDescent="0.25">
      <c r="A48" s="143">
        <v>19.100000000000001</v>
      </c>
      <c r="B48" s="169" t="s">
        <v>136</v>
      </c>
      <c r="C48" s="145">
        <v>0</v>
      </c>
      <c r="D48" s="145">
        <v>0</v>
      </c>
      <c r="E48" s="146">
        <f t="shared" si="2"/>
        <v>0</v>
      </c>
      <c r="F48" s="145">
        <v>0</v>
      </c>
      <c r="G48" s="145"/>
      <c r="H48" s="146">
        <f t="shared" si="3"/>
        <v>0</v>
      </c>
    </row>
    <row r="49" spans="1:8" x14ac:dyDescent="0.25">
      <c r="A49" s="143">
        <v>19.2</v>
      </c>
      <c r="B49" s="170" t="s">
        <v>137</v>
      </c>
      <c r="C49" s="145">
        <v>1831361.398579011</v>
      </c>
      <c r="D49" s="145">
        <v>0</v>
      </c>
      <c r="E49" s="146">
        <f t="shared" si="2"/>
        <v>1831361.398579011</v>
      </c>
      <c r="F49" s="145">
        <v>1752441.5988421449</v>
      </c>
      <c r="G49" s="145">
        <v>0</v>
      </c>
      <c r="H49" s="146">
        <f t="shared" si="3"/>
        <v>1752441.5988421449</v>
      </c>
    </row>
    <row r="50" spans="1:8" x14ac:dyDescent="0.25">
      <c r="A50" s="143">
        <v>20</v>
      </c>
      <c r="B50" s="160" t="s">
        <v>138</v>
      </c>
      <c r="C50" s="145">
        <v>2878544.5300000003</v>
      </c>
      <c r="D50" s="145">
        <v>0</v>
      </c>
      <c r="E50" s="146">
        <f t="shared" si="2"/>
        <v>2878544.5300000003</v>
      </c>
      <c r="F50" s="145">
        <v>2878544.5300000003</v>
      </c>
      <c r="G50" s="145">
        <v>0</v>
      </c>
      <c r="H50" s="146">
        <f t="shared" si="3"/>
        <v>2878544.5300000003</v>
      </c>
    </row>
    <row r="51" spans="1:8" x14ac:dyDescent="0.25">
      <c r="A51" s="143">
        <v>21</v>
      </c>
      <c r="B51" s="149" t="s">
        <v>139</v>
      </c>
      <c r="C51" s="145">
        <v>988505.64000000048</v>
      </c>
      <c r="D51" s="145">
        <v>242202.71999999997</v>
      </c>
      <c r="E51" s="146">
        <f t="shared" si="2"/>
        <v>1230708.3600000003</v>
      </c>
      <c r="F51" s="145">
        <v>616685.59999999986</v>
      </c>
      <c r="G51" s="145">
        <v>210126.56999999995</v>
      </c>
      <c r="H51" s="146">
        <f t="shared" si="3"/>
        <v>826812.16999999981</v>
      </c>
    </row>
    <row r="52" spans="1:8" x14ac:dyDescent="0.25">
      <c r="A52" s="143">
        <v>21.1</v>
      </c>
      <c r="B52" s="147" t="s">
        <v>140</v>
      </c>
      <c r="C52" s="145"/>
      <c r="D52" s="145"/>
      <c r="E52" s="146">
        <f t="shared" si="2"/>
        <v>0</v>
      </c>
      <c r="F52" s="145"/>
      <c r="G52" s="145"/>
      <c r="H52" s="146">
        <f t="shared" si="3"/>
        <v>0</v>
      </c>
    </row>
    <row r="53" spans="1:8" x14ac:dyDescent="0.25">
      <c r="A53" s="143">
        <v>22</v>
      </c>
      <c r="B53" s="160" t="s">
        <v>141</v>
      </c>
      <c r="C53" s="145">
        <f>SUM(C38,C40,C41,C46,C47,C50,C51)</f>
        <v>85528059.762905136</v>
      </c>
      <c r="D53" s="145">
        <f>SUM(D38,D40,D41,D46,D47,D50,D51)</f>
        <v>22504522.558441389</v>
      </c>
      <c r="E53" s="146">
        <f t="shared" si="2"/>
        <v>108032582.32134652</v>
      </c>
      <c r="F53" s="145">
        <f>SUM(F38,F40,F41,F46,F47,F50,F51)</f>
        <v>23386007.194890045</v>
      </c>
      <c r="G53" s="145">
        <f>SUM(G38,G40,G41,G46,G47,G50,G51)</f>
        <v>7382416.6160542127</v>
      </c>
      <c r="H53" s="146">
        <f t="shared" si="3"/>
        <v>30768423.810944259</v>
      </c>
    </row>
    <row r="54" spans="1:8" ht="24" customHeight="1" x14ac:dyDescent="0.25">
      <c r="A54" s="143"/>
      <c r="B54" s="161" t="s">
        <v>142</v>
      </c>
      <c r="C54" s="162"/>
      <c r="D54" s="163"/>
      <c r="E54" s="163"/>
      <c r="F54" s="163"/>
      <c r="G54" s="163"/>
      <c r="H54" s="164"/>
    </row>
    <row r="55" spans="1:8" x14ac:dyDescent="0.25">
      <c r="A55" s="143">
        <v>23</v>
      </c>
      <c r="B55" s="160" t="s">
        <v>143</v>
      </c>
      <c r="C55" s="145">
        <v>72746400</v>
      </c>
      <c r="D55" s="145"/>
      <c r="E55" s="146">
        <f>C55+D55</f>
        <v>72746400</v>
      </c>
      <c r="F55" s="145">
        <v>62946400</v>
      </c>
      <c r="G55" s="145"/>
      <c r="H55" s="146">
        <f>F55+G55</f>
        <v>62946400</v>
      </c>
    </row>
    <row r="56" spans="1:8" x14ac:dyDescent="0.25">
      <c r="A56" s="143">
        <v>24</v>
      </c>
      <c r="B56" s="160" t="s">
        <v>144</v>
      </c>
      <c r="C56" s="145"/>
      <c r="D56" s="145"/>
      <c r="E56" s="146">
        <f t="shared" ref="E56:E69" si="4">C56+D56</f>
        <v>0</v>
      </c>
      <c r="F56" s="145"/>
      <c r="G56" s="145"/>
      <c r="H56" s="146">
        <f t="shared" ref="H56:H69" si="5">F56+G56</f>
        <v>0</v>
      </c>
    </row>
    <row r="57" spans="1:8" x14ac:dyDescent="0.25">
      <c r="A57" s="143">
        <v>25</v>
      </c>
      <c r="B57" s="160" t="s">
        <v>145</v>
      </c>
      <c r="C57" s="145"/>
      <c r="D57" s="145"/>
      <c r="E57" s="146">
        <f t="shared" si="4"/>
        <v>0</v>
      </c>
      <c r="F57" s="145"/>
      <c r="G57" s="145"/>
      <c r="H57" s="146">
        <f t="shared" si="5"/>
        <v>0</v>
      </c>
    </row>
    <row r="58" spans="1:8" x14ac:dyDescent="0.25">
      <c r="A58" s="143">
        <v>26</v>
      </c>
      <c r="B58" s="152" t="s">
        <v>146</v>
      </c>
      <c r="C58" s="145"/>
      <c r="D58" s="145"/>
      <c r="E58" s="146">
        <f t="shared" si="4"/>
        <v>0</v>
      </c>
      <c r="F58" s="145"/>
      <c r="G58" s="145"/>
      <c r="H58" s="146">
        <f t="shared" si="5"/>
        <v>0</v>
      </c>
    </row>
    <row r="59" spans="1:8" ht="21" x14ac:dyDescent="0.25">
      <c r="A59" s="143">
        <v>27</v>
      </c>
      <c r="B59" s="152" t="s">
        <v>147</v>
      </c>
      <c r="C59" s="145">
        <f>SUM(C60:C61)</f>
        <v>0</v>
      </c>
      <c r="D59" s="145">
        <f>SUM(D60:D61)</f>
        <v>0</v>
      </c>
      <c r="E59" s="146">
        <f t="shared" si="4"/>
        <v>0</v>
      </c>
      <c r="F59" s="145"/>
      <c r="G59" s="145"/>
      <c r="H59" s="146">
        <f t="shared" si="5"/>
        <v>0</v>
      </c>
    </row>
    <row r="60" spans="1:8" x14ac:dyDescent="0.25">
      <c r="A60" s="143">
        <v>27.1</v>
      </c>
      <c r="B60" s="169" t="s">
        <v>148</v>
      </c>
      <c r="C60" s="145"/>
      <c r="D60" s="145"/>
      <c r="E60" s="146">
        <f t="shared" si="4"/>
        <v>0</v>
      </c>
      <c r="F60" s="145"/>
      <c r="G60" s="145"/>
      <c r="H60" s="146">
        <f t="shared" si="5"/>
        <v>0</v>
      </c>
    </row>
    <row r="61" spans="1:8" x14ac:dyDescent="0.25">
      <c r="A61" s="143">
        <v>27.2</v>
      </c>
      <c r="B61" s="168" t="s">
        <v>149</v>
      </c>
      <c r="C61" s="145"/>
      <c r="D61" s="145"/>
      <c r="E61" s="146">
        <f t="shared" si="4"/>
        <v>0</v>
      </c>
      <c r="F61" s="145"/>
      <c r="G61" s="145"/>
      <c r="H61" s="146">
        <f t="shared" si="5"/>
        <v>0</v>
      </c>
    </row>
    <row r="62" spans="1:8" x14ac:dyDescent="0.25">
      <c r="A62" s="143">
        <v>28</v>
      </c>
      <c r="B62" s="149" t="s">
        <v>150</v>
      </c>
      <c r="C62" s="145"/>
      <c r="D62" s="145"/>
      <c r="E62" s="146">
        <f t="shared" si="4"/>
        <v>0</v>
      </c>
      <c r="F62" s="145"/>
      <c r="G62" s="145"/>
      <c r="H62" s="146">
        <f t="shared" si="5"/>
        <v>0</v>
      </c>
    </row>
    <row r="63" spans="1:8" x14ac:dyDescent="0.25">
      <c r="A63" s="143">
        <v>29</v>
      </c>
      <c r="B63" s="152" t="s">
        <v>151</v>
      </c>
      <c r="C63" s="145">
        <f>SUM(C64:C66)</f>
        <v>3985507.7298158458</v>
      </c>
      <c r="D63" s="145">
        <f>SUM(D64:D66)</f>
        <v>0</v>
      </c>
      <c r="E63" s="146">
        <f t="shared" si="4"/>
        <v>3985507.7298158458</v>
      </c>
      <c r="F63" s="145">
        <f>F64</f>
        <v>4352500.4589957595</v>
      </c>
      <c r="G63" s="145"/>
      <c r="H63" s="146">
        <f t="shared" si="5"/>
        <v>4352500.4589957595</v>
      </c>
    </row>
    <row r="64" spans="1:8" x14ac:dyDescent="0.25">
      <c r="A64" s="143">
        <v>29.1</v>
      </c>
      <c r="B64" s="155" t="s">
        <v>152</v>
      </c>
      <c r="C64" s="145">
        <v>3985507.7298158458</v>
      </c>
      <c r="D64" s="145"/>
      <c r="E64" s="146">
        <f t="shared" si="4"/>
        <v>3985507.7298158458</v>
      </c>
      <c r="F64" s="145">
        <v>4352500.4589957595</v>
      </c>
      <c r="G64" s="145"/>
      <c r="H64" s="146">
        <f t="shared" si="5"/>
        <v>4352500.4589957595</v>
      </c>
    </row>
    <row r="65" spans="1:8" ht="24.95" customHeight="1" x14ac:dyDescent="0.25">
      <c r="A65" s="143">
        <v>29.2</v>
      </c>
      <c r="B65" s="169" t="s">
        <v>153</v>
      </c>
      <c r="C65" s="145"/>
      <c r="D65" s="145"/>
      <c r="E65" s="146">
        <f t="shared" si="4"/>
        <v>0</v>
      </c>
      <c r="F65" s="145"/>
      <c r="G65" s="145"/>
      <c r="H65" s="146">
        <f t="shared" si="5"/>
        <v>0</v>
      </c>
    </row>
    <row r="66" spans="1:8" ht="22.5" customHeight="1" x14ac:dyDescent="0.25">
      <c r="A66" s="143">
        <v>29.3</v>
      </c>
      <c r="B66" s="158" t="s">
        <v>154</v>
      </c>
      <c r="C66" s="145"/>
      <c r="D66" s="145"/>
      <c r="E66" s="146">
        <f t="shared" si="4"/>
        <v>0</v>
      </c>
      <c r="F66" s="145"/>
      <c r="G66" s="145"/>
      <c r="H66" s="146">
        <f t="shared" si="5"/>
        <v>0</v>
      </c>
    </row>
    <row r="67" spans="1:8" x14ac:dyDescent="0.25">
      <c r="A67" s="143">
        <v>30</v>
      </c>
      <c r="B67" s="152" t="s">
        <v>155</v>
      </c>
      <c r="C67" s="145">
        <v>-17695230.990883514</v>
      </c>
      <c r="D67" s="145"/>
      <c r="E67" s="146">
        <f t="shared" si="4"/>
        <v>-17695230.990883514</v>
      </c>
      <c r="F67" s="145">
        <v>-10311280.901719742</v>
      </c>
      <c r="G67" s="145"/>
      <c r="H67" s="146">
        <f t="shared" si="5"/>
        <v>-10311280.901719742</v>
      </c>
    </row>
    <row r="68" spans="1:8" x14ac:dyDescent="0.25">
      <c r="A68" s="143">
        <v>31</v>
      </c>
      <c r="B68" s="171" t="s">
        <v>156</v>
      </c>
      <c r="C68" s="145">
        <f>SUM(C55,C56,C57,C58,C59,C62,C63,C67)</f>
        <v>59036676.738932326</v>
      </c>
      <c r="D68" s="145">
        <f>SUM(D55,D56,D57,D58,D59,D62,D63,D67)</f>
        <v>0</v>
      </c>
      <c r="E68" s="146">
        <f t="shared" si="4"/>
        <v>59036676.738932326</v>
      </c>
      <c r="F68" s="145">
        <f>SUM(F55,F56,F57,F58,F59,F62,F63,F67)</f>
        <v>56987619.557276018</v>
      </c>
      <c r="G68" s="145">
        <f>SUM(G55,G56,G57,G58,G59,G62,G63,G67)</f>
        <v>0</v>
      </c>
      <c r="H68" s="146">
        <f t="shared" si="5"/>
        <v>56987619.557276018</v>
      </c>
    </row>
    <row r="69" spans="1:8" x14ac:dyDescent="0.25">
      <c r="A69" s="143">
        <v>32</v>
      </c>
      <c r="B69" s="172" t="s">
        <v>157</v>
      </c>
      <c r="C69" s="145">
        <f>SUM(C53,C68)</f>
        <v>144564736.50183746</v>
      </c>
      <c r="D69" s="145">
        <f>SUM(D53,D68)</f>
        <v>22504522.558441389</v>
      </c>
      <c r="E69" s="146">
        <f t="shared" si="4"/>
        <v>167069259.06027886</v>
      </c>
      <c r="F69" s="145">
        <f>SUM(F68,F53)</f>
        <v>80373626.752166063</v>
      </c>
      <c r="G69" s="145">
        <f>SUM(G68,G53)</f>
        <v>7382416.6160542127</v>
      </c>
      <c r="H69" s="146">
        <f t="shared" si="5"/>
        <v>87756043.36822027</v>
      </c>
    </row>
    <row r="71" spans="1:8" x14ac:dyDescent="0.25">
      <c r="E71" s="843"/>
      <c r="F71" s="264"/>
      <c r="G71" s="264"/>
      <c r="H71" s="843"/>
    </row>
  </sheetData>
  <mergeCells count="7">
    <mergeCell ref="C54:H54"/>
    <mergeCell ref="A4:A6"/>
    <mergeCell ref="B4:B5"/>
    <mergeCell ref="C4:E4"/>
    <mergeCell ref="F4:H4"/>
    <mergeCell ref="C6:H6"/>
    <mergeCell ref="C37:H3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71652-9873-4AE9-9724-BB807E8D06DD}">
  <dimension ref="A1:H51"/>
  <sheetViews>
    <sheetView topLeftCell="B1" zoomScaleNormal="100" workbookViewId="0">
      <selection activeCell="C6" sqref="C6:H45"/>
    </sheetView>
  </sheetViews>
  <sheetFormatPr defaultRowHeight="15" x14ac:dyDescent="0.25"/>
  <cols>
    <col min="2" max="2" width="66.5703125" customWidth="1"/>
    <col min="3" max="6" width="17.85546875" customWidth="1"/>
    <col min="7" max="7" width="19.140625" customWidth="1"/>
    <col min="8" max="8" width="17.85546875" customWidth="1"/>
  </cols>
  <sheetData>
    <row r="1" spans="1:8" ht="15.75" x14ac:dyDescent="0.3">
      <c r="A1" s="23" t="s">
        <v>41</v>
      </c>
      <c r="B1" s="24" t="str">
        <f>Info!C2</f>
        <v>სს სილქ ბანკი</v>
      </c>
      <c r="C1" s="25"/>
      <c r="D1" s="22"/>
      <c r="E1" s="22"/>
      <c r="F1" s="22"/>
      <c r="G1" s="22"/>
    </row>
    <row r="2" spans="1:8" ht="15.75" x14ac:dyDescent="0.3">
      <c r="A2" s="23" t="s">
        <v>42</v>
      </c>
      <c r="B2" s="26">
        <f>'1. key ratios'!B2</f>
        <v>45291</v>
      </c>
      <c r="C2" s="25"/>
      <c r="D2" s="22"/>
      <c r="E2" s="22"/>
      <c r="F2" s="22"/>
      <c r="G2" s="22"/>
    </row>
    <row r="3" spans="1:8" ht="16.5" thickBot="1" x14ac:dyDescent="0.35">
      <c r="A3" s="23"/>
      <c r="B3" s="25"/>
      <c r="C3" s="25"/>
      <c r="D3" s="22"/>
      <c r="E3" s="22"/>
      <c r="F3" s="22"/>
      <c r="G3" s="22"/>
    </row>
    <row r="4" spans="1:8" ht="40.5" customHeight="1" x14ac:dyDescent="0.25">
      <c r="A4" s="175" t="s">
        <v>46</v>
      </c>
      <c r="B4" s="176" t="s">
        <v>14</v>
      </c>
      <c r="C4" s="177" t="s">
        <v>92</v>
      </c>
      <c r="D4" s="177"/>
      <c r="E4" s="177"/>
      <c r="F4" s="177" t="s">
        <v>93</v>
      </c>
      <c r="G4" s="177"/>
      <c r="H4" s="178"/>
    </row>
    <row r="5" spans="1:8" ht="15.6" customHeight="1" x14ac:dyDescent="0.25">
      <c r="A5" s="179"/>
      <c r="B5" s="180"/>
      <c r="C5" s="181" t="s">
        <v>94</v>
      </c>
      <c r="D5" s="181" t="s">
        <v>95</v>
      </c>
      <c r="E5" s="181" t="s">
        <v>96</v>
      </c>
      <c r="F5" s="181" t="s">
        <v>94</v>
      </c>
      <c r="G5" s="181" t="s">
        <v>95</v>
      </c>
      <c r="H5" s="181" t="s">
        <v>96</v>
      </c>
    </row>
    <row r="6" spans="1:8" x14ac:dyDescent="0.25">
      <c r="A6" s="182">
        <v>1</v>
      </c>
      <c r="B6" s="183" t="s">
        <v>158</v>
      </c>
      <c r="C6" s="184">
        <f>SUM(C7:C12)</f>
        <v>8390991.6259471755</v>
      </c>
      <c r="D6" s="184">
        <f>SUM(D7:D12)</f>
        <v>1213918.6720988187</v>
      </c>
      <c r="E6" s="185">
        <f>C6+D6</f>
        <v>9604910.2980459947</v>
      </c>
      <c r="F6" s="184">
        <f>SUM(F7:F12)</f>
        <v>5438431.3154241759</v>
      </c>
      <c r="G6" s="184">
        <f>SUM(G7:G12)</f>
        <v>524029.67999999993</v>
      </c>
      <c r="H6" s="185">
        <f>F6+G6</f>
        <v>5962460.9954241756</v>
      </c>
    </row>
    <row r="7" spans="1:8" x14ac:dyDescent="0.25">
      <c r="A7" s="182">
        <v>1.1000000000000001</v>
      </c>
      <c r="B7" s="186" t="s">
        <v>102</v>
      </c>
      <c r="C7" s="184"/>
      <c r="D7" s="184"/>
      <c r="E7" s="185">
        <f t="shared" ref="E7:E45" si="0">C7+D7</f>
        <v>0</v>
      </c>
      <c r="F7" s="184"/>
      <c r="G7" s="184"/>
      <c r="H7" s="185">
        <f t="shared" ref="H7:H45" si="1">F7+G7</f>
        <v>0</v>
      </c>
    </row>
    <row r="8" spans="1:8" ht="21" x14ac:dyDescent="0.25">
      <c r="A8" s="182">
        <v>1.2</v>
      </c>
      <c r="B8" s="186" t="s">
        <v>159</v>
      </c>
      <c r="C8" s="184"/>
      <c r="D8" s="184"/>
      <c r="E8" s="185">
        <f t="shared" si="0"/>
        <v>0</v>
      </c>
      <c r="F8" s="184"/>
      <c r="G8" s="184"/>
      <c r="H8" s="185">
        <f t="shared" si="1"/>
        <v>0</v>
      </c>
    </row>
    <row r="9" spans="1:8" ht="21.6" customHeight="1" x14ac:dyDescent="0.25">
      <c r="A9" s="182">
        <v>1.3</v>
      </c>
      <c r="B9" s="169" t="s">
        <v>160</v>
      </c>
      <c r="C9" s="184"/>
      <c r="D9" s="184"/>
      <c r="E9" s="185">
        <f t="shared" si="0"/>
        <v>0</v>
      </c>
      <c r="F9" s="184"/>
      <c r="G9" s="184"/>
      <c r="H9" s="185">
        <f t="shared" si="1"/>
        <v>0</v>
      </c>
    </row>
    <row r="10" spans="1:8" ht="21" x14ac:dyDescent="0.25">
      <c r="A10" s="182">
        <v>1.4</v>
      </c>
      <c r="B10" s="169" t="s">
        <v>106</v>
      </c>
      <c r="C10" s="184"/>
      <c r="D10" s="184"/>
      <c r="E10" s="185">
        <f t="shared" si="0"/>
        <v>0</v>
      </c>
      <c r="F10" s="184"/>
      <c r="G10" s="184"/>
      <c r="H10" s="185">
        <f t="shared" si="1"/>
        <v>0</v>
      </c>
    </row>
    <row r="11" spans="1:8" x14ac:dyDescent="0.25">
      <c r="A11" s="182">
        <v>1.5</v>
      </c>
      <c r="B11" s="169" t="s">
        <v>110</v>
      </c>
      <c r="C11" s="184">
        <v>8390991.6259471755</v>
      </c>
      <c r="D11" s="184">
        <v>1213918.6720988187</v>
      </c>
      <c r="E11" s="185">
        <f t="shared" si="0"/>
        <v>9604910.2980459947</v>
      </c>
      <c r="F11" s="184">
        <v>5438431.3154241759</v>
      </c>
      <c r="G11" s="184">
        <v>524029.67999999993</v>
      </c>
      <c r="H11" s="185">
        <f t="shared" si="1"/>
        <v>5962460.9954241756</v>
      </c>
    </row>
    <row r="12" spans="1:8" x14ac:dyDescent="0.25">
      <c r="A12" s="182">
        <v>1.6</v>
      </c>
      <c r="B12" s="170" t="s">
        <v>122</v>
      </c>
      <c r="C12" s="184"/>
      <c r="D12" s="184"/>
      <c r="E12" s="185">
        <f t="shared" si="0"/>
        <v>0</v>
      </c>
      <c r="F12" s="184"/>
      <c r="G12" s="184"/>
      <c r="H12" s="185">
        <f t="shared" si="1"/>
        <v>0</v>
      </c>
    </row>
    <row r="13" spans="1:8" x14ac:dyDescent="0.25">
      <c r="A13" s="182">
        <v>2</v>
      </c>
      <c r="B13" s="187" t="s">
        <v>161</v>
      </c>
      <c r="C13" s="184">
        <f>SUM(C14:C17)</f>
        <v>-5140099.5178424213</v>
      </c>
      <c r="D13" s="184">
        <f>SUM(D14:D17)</f>
        <v>-345786.05999999988</v>
      </c>
      <c r="E13" s="185">
        <f t="shared" si="0"/>
        <v>-5485885.5778424209</v>
      </c>
      <c r="F13" s="184">
        <f>SUM(F14:F17)</f>
        <v>-2511080.7963446882</v>
      </c>
      <c r="G13" s="184">
        <f>SUM(G14:G17)</f>
        <v>-9853.2399999999652</v>
      </c>
      <c r="H13" s="185">
        <f t="shared" si="1"/>
        <v>-2520934.0363446879</v>
      </c>
    </row>
    <row r="14" spans="1:8" x14ac:dyDescent="0.25">
      <c r="A14" s="182">
        <v>2.1</v>
      </c>
      <c r="B14" s="169" t="s">
        <v>162</v>
      </c>
      <c r="C14" s="184"/>
      <c r="D14" s="184"/>
      <c r="E14" s="185">
        <f t="shared" si="0"/>
        <v>0</v>
      </c>
      <c r="F14" s="184"/>
      <c r="G14" s="184"/>
      <c r="H14" s="185">
        <f t="shared" si="1"/>
        <v>0</v>
      </c>
    </row>
    <row r="15" spans="1:8" ht="24.6" customHeight="1" x14ac:dyDescent="0.25">
      <c r="A15" s="182">
        <v>2.2000000000000002</v>
      </c>
      <c r="B15" s="169" t="s">
        <v>163</v>
      </c>
      <c r="C15" s="184"/>
      <c r="D15" s="184"/>
      <c r="E15" s="185">
        <f t="shared" si="0"/>
        <v>0</v>
      </c>
      <c r="F15" s="184"/>
      <c r="G15" s="184"/>
      <c r="H15" s="185">
        <f t="shared" si="1"/>
        <v>0</v>
      </c>
    </row>
    <row r="16" spans="1:8" ht="20.45" customHeight="1" x14ac:dyDescent="0.25">
      <c r="A16" s="182">
        <v>2.2999999999999998</v>
      </c>
      <c r="B16" s="169" t="s">
        <v>164</v>
      </c>
      <c r="C16" s="184">
        <v>-5140099.5178424213</v>
      </c>
      <c r="D16" s="184">
        <v>-345786.05999999988</v>
      </c>
      <c r="E16" s="185">
        <f t="shared" si="0"/>
        <v>-5485885.5778424209</v>
      </c>
      <c r="F16" s="184">
        <v>-2511080.7963446882</v>
      </c>
      <c r="G16" s="184">
        <v>-9853.2399999999652</v>
      </c>
      <c r="H16" s="185">
        <f t="shared" si="1"/>
        <v>-2520934.0363446879</v>
      </c>
    </row>
    <row r="17" spans="1:8" x14ac:dyDescent="0.25">
      <c r="A17" s="182">
        <v>2.4</v>
      </c>
      <c r="B17" s="169" t="s">
        <v>165</v>
      </c>
      <c r="C17" s="184"/>
      <c r="D17" s="184"/>
      <c r="E17" s="185">
        <f t="shared" si="0"/>
        <v>0</v>
      </c>
      <c r="F17" s="184"/>
      <c r="G17" s="184"/>
      <c r="H17" s="185">
        <f t="shared" si="1"/>
        <v>0</v>
      </c>
    </row>
    <row r="18" spans="1:8" x14ac:dyDescent="0.25">
      <c r="A18" s="182">
        <v>3</v>
      </c>
      <c r="B18" s="187" t="s">
        <v>166</v>
      </c>
      <c r="C18" s="184"/>
      <c r="D18" s="184"/>
      <c r="E18" s="185">
        <f t="shared" si="0"/>
        <v>0</v>
      </c>
      <c r="F18" s="184"/>
      <c r="G18" s="184"/>
      <c r="H18" s="185">
        <f t="shared" si="1"/>
        <v>0</v>
      </c>
    </row>
    <row r="19" spans="1:8" x14ac:dyDescent="0.25">
      <c r="A19" s="182">
        <v>4</v>
      </c>
      <c r="B19" s="187" t="s">
        <v>167</v>
      </c>
      <c r="C19" s="184">
        <v>121111.62000000017</v>
      </c>
      <c r="D19" s="184">
        <v>102786.47000000002</v>
      </c>
      <c r="E19" s="185">
        <f t="shared" si="0"/>
        <v>223898.0900000002</v>
      </c>
      <c r="F19" s="184">
        <v>181456.40000000002</v>
      </c>
      <c r="G19" s="184">
        <v>46283.880000000005</v>
      </c>
      <c r="H19" s="185">
        <f t="shared" si="1"/>
        <v>227740.28000000003</v>
      </c>
    </row>
    <row r="20" spans="1:8" x14ac:dyDescent="0.25">
      <c r="A20" s="182">
        <v>5</v>
      </c>
      <c r="B20" s="187" t="s">
        <v>168</v>
      </c>
      <c r="C20" s="184">
        <v>-109818.22</v>
      </c>
      <c r="D20" s="184">
        <v>-97277.489999999991</v>
      </c>
      <c r="E20" s="185">
        <f t="shared" si="0"/>
        <v>-207095.71</v>
      </c>
      <c r="F20" s="184">
        <v>-49832.050000000047</v>
      </c>
      <c r="G20" s="184">
        <v>-47709.74000000002</v>
      </c>
      <c r="H20" s="185">
        <f t="shared" si="1"/>
        <v>-97541.790000000066</v>
      </c>
    </row>
    <row r="21" spans="1:8" ht="38.450000000000003" customHeight="1" x14ac:dyDescent="0.25">
      <c r="A21" s="182">
        <v>6</v>
      </c>
      <c r="B21" s="187" t="s">
        <v>169</v>
      </c>
      <c r="C21" s="184"/>
      <c r="D21" s="184"/>
      <c r="E21" s="185">
        <f t="shared" si="0"/>
        <v>0</v>
      </c>
      <c r="F21" s="184"/>
      <c r="G21" s="184"/>
      <c r="H21" s="185">
        <f t="shared" si="1"/>
        <v>0</v>
      </c>
    </row>
    <row r="22" spans="1:8" ht="27.6" customHeight="1" x14ac:dyDescent="0.25">
      <c r="A22" s="182">
        <v>7</v>
      </c>
      <c r="B22" s="188" t="s">
        <v>170</v>
      </c>
      <c r="C22" s="184"/>
      <c r="D22" s="184"/>
      <c r="E22" s="185">
        <f t="shared" si="0"/>
        <v>0</v>
      </c>
      <c r="F22" s="184"/>
      <c r="G22" s="184"/>
      <c r="H22" s="185">
        <f t="shared" si="1"/>
        <v>0</v>
      </c>
    </row>
    <row r="23" spans="1:8" ht="36.950000000000003" customHeight="1" x14ac:dyDescent="0.25">
      <c r="A23" s="182">
        <v>8</v>
      </c>
      <c r="B23" s="189" t="s">
        <v>171</v>
      </c>
      <c r="C23" s="184"/>
      <c r="D23" s="184"/>
      <c r="E23" s="185">
        <f t="shared" si="0"/>
        <v>0</v>
      </c>
      <c r="F23" s="184"/>
      <c r="G23" s="184"/>
      <c r="H23" s="185">
        <f t="shared" si="1"/>
        <v>0</v>
      </c>
    </row>
    <row r="24" spans="1:8" ht="34.5" customHeight="1" x14ac:dyDescent="0.25">
      <c r="A24" s="182">
        <v>9</v>
      </c>
      <c r="B24" s="189" t="s">
        <v>172</v>
      </c>
      <c r="C24" s="184"/>
      <c r="D24" s="184"/>
      <c r="E24" s="185">
        <f t="shared" si="0"/>
        <v>0</v>
      </c>
      <c r="F24" s="184"/>
      <c r="G24" s="184"/>
      <c r="H24" s="185">
        <f t="shared" si="1"/>
        <v>0</v>
      </c>
    </row>
    <row r="25" spans="1:8" x14ac:dyDescent="0.25">
      <c r="A25" s="182">
        <v>10</v>
      </c>
      <c r="B25" s="187" t="s">
        <v>173</v>
      </c>
      <c r="C25" s="184">
        <v>700495.25314170867</v>
      </c>
      <c r="D25" s="184">
        <v>0</v>
      </c>
      <c r="E25" s="185">
        <f t="shared" si="0"/>
        <v>700495.25314170867</v>
      </c>
      <c r="F25" s="184">
        <v>38167.456282291561</v>
      </c>
      <c r="G25" s="184">
        <v>0</v>
      </c>
      <c r="H25" s="185">
        <f t="shared" si="1"/>
        <v>38167.456282291561</v>
      </c>
    </row>
    <row r="26" spans="1:8" ht="27" customHeight="1" x14ac:dyDescent="0.25">
      <c r="A26" s="182">
        <v>11</v>
      </c>
      <c r="B26" s="190" t="s">
        <v>174</v>
      </c>
      <c r="C26" s="184">
        <v>-75714.656308175443</v>
      </c>
      <c r="D26" s="184">
        <v>0</v>
      </c>
      <c r="E26" s="185">
        <f t="shared" si="0"/>
        <v>-75714.656308175443</v>
      </c>
      <c r="F26" s="184">
        <v>31910.779067402327</v>
      </c>
      <c r="G26" s="184">
        <v>0</v>
      </c>
      <c r="H26" s="185">
        <f t="shared" si="1"/>
        <v>31910.779067402327</v>
      </c>
    </row>
    <row r="27" spans="1:8" x14ac:dyDescent="0.25">
      <c r="A27" s="182">
        <v>12</v>
      </c>
      <c r="B27" s="187" t="s">
        <v>175</v>
      </c>
      <c r="C27" s="184">
        <v>70876.812015014584</v>
      </c>
      <c r="D27" s="184">
        <v>339.34</v>
      </c>
      <c r="E27" s="185">
        <f t="shared" si="0"/>
        <v>71216.152015014581</v>
      </c>
      <c r="F27" s="191">
        <v>39638.067499986886</v>
      </c>
      <c r="G27" s="192">
        <v>16655.260000000002</v>
      </c>
      <c r="H27" s="185">
        <f t="shared" si="1"/>
        <v>56293.327499986888</v>
      </c>
    </row>
    <row r="28" spans="1:8" x14ac:dyDescent="0.25">
      <c r="A28" s="182">
        <v>13</v>
      </c>
      <c r="B28" s="193" t="s">
        <v>176</v>
      </c>
      <c r="C28" s="184">
        <v>-14043.119615</v>
      </c>
      <c r="D28" s="184">
        <v>0</v>
      </c>
      <c r="E28" s="185">
        <f t="shared" si="0"/>
        <v>-14043.119615</v>
      </c>
      <c r="F28" s="192">
        <v>-6587.6074999999992</v>
      </c>
      <c r="G28" s="192">
        <v>0</v>
      </c>
      <c r="H28" s="185">
        <f t="shared" si="1"/>
        <v>-6587.6074999999992</v>
      </c>
    </row>
    <row r="29" spans="1:8" x14ac:dyDescent="0.25">
      <c r="A29" s="182">
        <v>14</v>
      </c>
      <c r="B29" s="194" t="s">
        <v>177</v>
      </c>
      <c r="C29" s="184">
        <f>SUM(C30:C31)</f>
        <v>-9632631.6300000008</v>
      </c>
      <c r="D29" s="184">
        <f>SUM(D30:D31)</f>
        <v>-1314671.9300000002</v>
      </c>
      <c r="E29" s="185">
        <f t="shared" si="0"/>
        <v>-10947303.560000001</v>
      </c>
      <c r="F29" s="192">
        <f>SUM(F30:F31)</f>
        <v>-6105881.7100000009</v>
      </c>
      <c r="G29" s="192">
        <f>SUM(G30:G31)</f>
        <v>-750186.68</v>
      </c>
      <c r="H29" s="195">
        <f t="shared" si="1"/>
        <v>-6856068.3900000006</v>
      </c>
    </row>
    <row r="30" spans="1:8" x14ac:dyDescent="0.25">
      <c r="A30" s="182">
        <v>14.1</v>
      </c>
      <c r="B30" s="158" t="s">
        <v>178</v>
      </c>
      <c r="C30" s="184">
        <v>-6607226.6000000006</v>
      </c>
      <c r="D30" s="184">
        <v>0</v>
      </c>
      <c r="E30" s="185">
        <f t="shared" si="0"/>
        <v>-6607226.6000000006</v>
      </c>
      <c r="F30" s="192">
        <v>-3793899.2800000012</v>
      </c>
      <c r="G30" s="192">
        <v>0</v>
      </c>
      <c r="H30" s="195">
        <f t="shared" si="1"/>
        <v>-3793899.2800000012</v>
      </c>
    </row>
    <row r="31" spans="1:8" x14ac:dyDescent="0.25">
      <c r="A31" s="182">
        <v>14.2</v>
      </c>
      <c r="B31" s="158" t="s">
        <v>179</v>
      </c>
      <c r="C31" s="184">
        <v>-3025405.0300000003</v>
      </c>
      <c r="D31" s="184">
        <v>-1314671.9300000002</v>
      </c>
      <c r="E31" s="185">
        <f t="shared" si="0"/>
        <v>-4340076.9600000009</v>
      </c>
      <c r="F31" s="192">
        <v>-2311982.4299999997</v>
      </c>
      <c r="G31" s="192">
        <v>-750186.68</v>
      </c>
      <c r="H31" s="195">
        <f t="shared" si="1"/>
        <v>-3062169.11</v>
      </c>
    </row>
    <row r="32" spans="1:8" x14ac:dyDescent="0.25">
      <c r="A32" s="182">
        <v>15</v>
      </c>
      <c r="B32" s="196" t="s">
        <v>180</v>
      </c>
      <c r="C32" s="184">
        <v>-990970.64</v>
      </c>
      <c r="D32" s="184">
        <v>0</v>
      </c>
      <c r="E32" s="185">
        <f t="shared" si="0"/>
        <v>-990970.64</v>
      </c>
      <c r="F32" s="192">
        <v>-719984.41999999993</v>
      </c>
      <c r="G32" s="192">
        <v>0</v>
      </c>
      <c r="H32" s="195">
        <f t="shared" si="1"/>
        <v>-719984.41999999993</v>
      </c>
    </row>
    <row r="33" spans="1:8" ht="22.5" customHeight="1" x14ac:dyDescent="0.25">
      <c r="A33" s="182">
        <v>16</v>
      </c>
      <c r="B33" s="152" t="s">
        <v>181</v>
      </c>
      <c r="C33" s="184"/>
      <c r="D33" s="184"/>
      <c r="E33" s="185">
        <f t="shared" si="0"/>
        <v>0</v>
      </c>
      <c r="F33" s="184"/>
      <c r="G33" s="184"/>
      <c r="H33" s="185">
        <f t="shared" si="1"/>
        <v>0</v>
      </c>
    </row>
    <row r="34" spans="1:8" x14ac:dyDescent="0.25">
      <c r="A34" s="182">
        <v>17</v>
      </c>
      <c r="B34" s="187" t="s">
        <v>182</v>
      </c>
      <c r="C34" s="184">
        <f>SUM(C35:C36)</f>
        <v>-38629.872823600395</v>
      </c>
      <c r="D34" s="184">
        <f>SUM(D35:D36)</f>
        <v>-24422.02498717382</v>
      </c>
      <c r="E34" s="185">
        <f t="shared" si="0"/>
        <v>-63051.897810774215</v>
      </c>
      <c r="F34" s="184">
        <f>SUM(F35:F36)</f>
        <v>-5239.9999999999854</v>
      </c>
      <c r="G34" s="184">
        <f>SUM(G35:G36)</f>
        <v>-5136.793454215941</v>
      </c>
      <c r="H34" s="185">
        <f t="shared" si="1"/>
        <v>-10376.793454215927</v>
      </c>
    </row>
    <row r="35" spans="1:8" x14ac:dyDescent="0.25">
      <c r="A35" s="182">
        <v>17.100000000000001</v>
      </c>
      <c r="B35" s="197" t="s">
        <v>183</v>
      </c>
      <c r="C35" s="184">
        <v>-38629.872823600395</v>
      </c>
      <c r="D35" s="184">
        <v>-24422.02498717382</v>
      </c>
      <c r="E35" s="185">
        <f t="shared" si="0"/>
        <v>-63051.897810774215</v>
      </c>
      <c r="F35" s="184">
        <v>-5239.9999999999854</v>
      </c>
      <c r="G35" s="184">
        <v>-5136.793454215941</v>
      </c>
      <c r="H35" s="185">
        <f t="shared" si="1"/>
        <v>-10376.793454215927</v>
      </c>
    </row>
    <row r="36" spans="1:8" x14ac:dyDescent="0.25">
      <c r="A36" s="182">
        <v>17.2</v>
      </c>
      <c r="B36" s="158" t="s">
        <v>184</v>
      </c>
      <c r="C36" s="184"/>
      <c r="D36" s="184"/>
      <c r="E36" s="185">
        <f t="shared" si="0"/>
        <v>0</v>
      </c>
      <c r="F36" s="184"/>
      <c r="G36" s="184"/>
      <c r="H36" s="185">
        <f t="shared" si="1"/>
        <v>0</v>
      </c>
    </row>
    <row r="37" spans="1:8" ht="41.45" customHeight="1" x14ac:dyDescent="0.25">
      <c r="A37" s="182">
        <v>18</v>
      </c>
      <c r="B37" s="198" t="s">
        <v>185</v>
      </c>
      <c r="C37" s="184">
        <f>SUM(C38:C39)</f>
        <v>-748995.07088048349</v>
      </c>
      <c r="D37" s="184">
        <f>SUM(D38:D39)</f>
        <v>51955.73014566183</v>
      </c>
      <c r="E37" s="185">
        <f t="shared" si="0"/>
        <v>-697039.34073482163</v>
      </c>
      <c r="F37" s="199">
        <f>SUM(F38:F39)</f>
        <v>367486.05713711301</v>
      </c>
      <c r="G37" s="199">
        <f>SUM(G38:G39)</f>
        <v>106453.32999999999</v>
      </c>
      <c r="H37" s="185">
        <f t="shared" si="1"/>
        <v>473939.38713711302</v>
      </c>
    </row>
    <row r="38" spans="1:8" ht="21" x14ac:dyDescent="0.25">
      <c r="A38" s="182">
        <v>18.100000000000001</v>
      </c>
      <c r="B38" s="169" t="s">
        <v>186</v>
      </c>
      <c r="C38" s="184"/>
      <c r="D38" s="184"/>
      <c r="E38" s="185">
        <f t="shared" si="0"/>
        <v>0</v>
      </c>
      <c r="F38" s="199"/>
      <c r="G38" s="199"/>
      <c r="H38" s="185">
        <f t="shared" si="1"/>
        <v>0</v>
      </c>
    </row>
    <row r="39" spans="1:8" x14ac:dyDescent="0.25">
      <c r="A39" s="182">
        <v>18.2</v>
      </c>
      <c r="B39" s="169" t="s">
        <v>187</v>
      </c>
      <c r="C39" s="184">
        <v>-748995.07088048349</v>
      </c>
      <c r="D39" s="184">
        <v>51955.73014566183</v>
      </c>
      <c r="E39" s="185">
        <f t="shared" si="0"/>
        <v>-697039.34073482163</v>
      </c>
      <c r="F39" s="200">
        <v>367486.05713711301</v>
      </c>
      <c r="G39" s="199">
        <v>106453.32999999999</v>
      </c>
      <c r="H39" s="185">
        <f t="shared" si="1"/>
        <v>473939.38713711302</v>
      </c>
    </row>
    <row r="40" spans="1:8" ht="24.6" customHeight="1" x14ac:dyDescent="0.25">
      <c r="A40" s="182">
        <v>19</v>
      </c>
      <c r="B40" s="198" t="s">
        <v>188</v>
      </c>
      <c r="C40" s="184"/>
      <c r="D40" s="184"/>
      <c r="E40" s="185">
        <f t="shared" si="0"/>
        <v>0</v>
      </c>
      <c r="F40" s="184"/>
      <c r="G40" s="184"/>
      <c r="H40" s="185">
        <f t="shared" si="1"/>
        <v>0</v>
      </c>
    </row>
    <row r="41" spans="1:8" ht="24.95" customHeight="1" x14ac:dyDescent="0.25">
      <c r="A41" s="182">
        <v>20</v>
      </c>
      <c r="B41" s="198" t="s">
        <v>189</v>
      </c>
      <c r="C41" s="184">
        <v>558489.82050164836</v>
      </c>
      <c r="D41" s="184">
        <v>0</v>
      </c>
      <c r="E41" s="185">
        <f t="shared" si="0"/>
        <v>558489.82050164836</v>
      </c>
      <c r="F41" s="184">
        <v>32827.455804541241</v>
      </c>
      <c r="G41" s="184">
        <v>0</v>
      </c>
      <c r="H41" s="185">
        <f t="shared" si="1"/>
        <v>32827.455804541241</v>
      </c>
    </row>
    <row r="42" spans="1:8" ht="33" customHeight="1" x14ac:dyDescent="0.25">
      <c r="A42" s="182">
        <v>21</v>
      </c>
      <c r="B42" s="201" t="s">
        <v>190</v>
      </c>
      <c r="C42" s="184"/>
      <c r="D42" s="184"/>
      <c r="E42" s="185">
        <f t="shared" si="0"/>
        <v>0</v>
      </c>
      <c r="F42" s="184"/>
      <c r="G42" s="184"/>
      <c r="H42" s="185">
        <f t="shared" si="1"/>
        <v>0</v>
      </c>
    </row>
    <row r="43" spans="1:8" x14ac:dyDescent="0.25">
      <c r="A43" s="182">
        <v>22</v>
      </c>
      <c r="B43" s="202" t="s">
        <v>191</v>
      </c>
      <c r="C43" s="184">
        <f>SUM(C6,C13,C18,C19,C20,C21,C22,C23,C24,C25,C26,C27,C28,C29,C32,C33,C34,C37,C40,C41,C42)</f>
        <v>-6908937.5958641358</v>
      </c>
      <c r="D43" s="184">
        <f>SUM(D6,D13,D18,D19,D20,D21,D22,D23,D24,D25,D26,D27,D28,D29,D32,D33,D34,D37,D40,D41,D42)</f>
        <v>-413157.29274269333</v>
      </c>
      <c r="E43" s="185">
        <f t="shared" si="0"/>
        <v>-7322094.8886068296</v>
      </c>
      <c r="F43" s="184">
        <f>SUM(F6,F13,F18,F19,F20,F21,F22,F23,F24,F25,F26,F27,F28,F29,F32,F33,F34,F37,F40,F41,F42)</f>
        <v>-3268689.0526291784</v>
      </c>
      <c r="G43" s="184">
        <f>SUM(G6,G13,G18,G19,G20,G21,G22,G23,G24,G25,G26,G27,G28,G29,G32,G33,G34,G37,G40,G41,G42)</f>
        <v>-119464.30345421605</v>
      </c>
      <c r="H43" s="185">
        <f t="shared" si="1"/>
        <v>-3388153.3560833945</v>
      </c>
    </row>
    <row r="44" spans="1:8" x14ac:dyDescent="0.25">
      <c r="A44" s="182">
        <v>23</v>
      </c>
      <c r="B44" s="202" t="s">
        <v>192</v>
      </c>
      <c r="C44" s="184">
        <v>148905.47973686524</v>
      </c>
      <c r="D44" s="184"/>
      <c r="E44" s="185">
        <f t="shared" si="0"/>
        <v>148905.47973686524</v>
      </c>
      <c r="F44" s="184">
        <v>536709.4318522606</v>
      </c>
      <c r="G44" s="184"/>
      <c r="H44" s="185">
        <f t="shared" si="1"/>
        <v>536709.4318522606</v>
      </c>
    </row>
    <row r="45" spans="1:8" x14ac:dyDescent="0.25">
      <c r="A45" s="182">
        <v>24</v>
      </c>
      <c r="B45" s="202" t="s">
        <v>193</v>
      </c>
      <c r="C45" s="184">
        <f>C43-C44</f>
        <v>-7057843.0756010013</v>
      </c>
      <c r="D45" s="184">
        <f>D43-D44</f>
        <v>-413157.29274269333</v>
      </c>
      <c r="E45" s="185">
        <f t="shared" si="0"/>
        <v>-7471000.3683436941</v>
      </c>
      <c r="F45" s="184">
        <f>F43-F44</f>
        <v>-3805398.484481439</v>
      </c>
      <c r="G45" s="184">
        <f>G43-G44</f>
        <v>-119464.30345421605</v>
      </c>
      <c r="H45" s="185">
        <f t="shared" si="1"/>
        <v>-3924862.7879356551</v>
      </c>
    </row>
    <row r="47" spans="1:8" x14ac:dyDescent="0.25">
      <c r="E47" s="844"/>
      <c r="F47" s="845"/>
      <c r="G47" s="845"/>
      <c r="H47" s="844"/>
    </row>
    <row r="49" spans="3:8" x14ac:dyDescent="0.25">
      <c r="H49" s="167"/>
    </row>
    <row r="51" spans="3:8" x14ac:dyDescent="0.25">
      <c r="C51" s="136"/>
      <c r="D51" s="136"/>
      <c r="E51" s="136"/>
      <c r="F51" s="136"/>
      <c r="G51" s="136"/>
      <c r="H51" s="136"/>
    </row>
  </sheetData>
  <mergeCells count="4">
    <mergeCell ref="A4:A5"/>
    <mergeCell ref="B4:B5"/>
    <mergeCell ref="C4:E4"/>
    <mergeCell ref="F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CE71D-B95C-475A-9B6A-7EB6A63FB243}">
  <dimension ref="A1:J51"/>
  <sheetViews>
    <sheetView zoomScaleNormal="100" workbookViewId="0">
      <selection activeCell="C6" sqref="C6:H43"/>
    </sheetView>
  </sheetViews>
  <sheetFormatPr defaultRowHeight="15" x14ac:dyDescent="0.25"/>
  <cols>
    <col min="1" max="1" width="9.140625" style="173"/>
    <col min="2" max="2" width="87.5703125" bestFit="1" customWidth="1"/>
    <col min="3" max="3" width="16.42578125" customWidth="1"/>
    <col min="4" max="4" width="16.28515625" customWidth="1"/>
    <col min="5" max="5" width="12.7109375" customWidth="1"/>
    <col min="6" max="7" width="14.28515625" customWidth="1"/>
    <col min="8" max="8" width="12.7109375" customWidth="1"/>
  </cols>
  <sheetData>
    <row r="1" spans="1:8" ht="15.75" x14ac:dyDescent="0.3">
      <c r="A1" s="23" t="s">
        <v>41</v>
      </c>
      <c r="B1" s="24" t="str">
        <f>Info!C2</f>
        <v>სს სილქ ბანკი</v>
      </c>
      <c r="C1" s="25"/>
      <c r="D1" s="22"/>
      <c r="E1" s="22"/>
      <c r="F1" s="22"/>
      <c r="G1" s="22"/>
    </row>
    <row r="2" spans="1:8" ht="15.75" x14ac:dyDescent="0.3">
      <c r="A2" s="23" t="s">
        <v>42</v>
      </c>
      <c r="B2" s="26">
        <f>'1. key ratios'!B2</f>
        <v>45291</v>
      </c>
      <c r="C2" s="25"/>
      <c r="D2" s="22"/>
      <c r="E2" s="22"/>
      <c r="F2" s="22"/>
      <c r="G2" s="22"/>
    </row>
    <row r="3" spans="1:8" ht="16.5" thickBot="1" x14ac:dyDescent="0.35">
      <c r="A3" s="23"/>
      <c r="B3" s="25"/>
      <c r="C3" s="25"/>
      <c r="D3" s="22"/>
      <c r="E3" s="22"/>
      <c r="F3" s="22"/>
      <c r="G3" s="22"/>
    </row>
    <row r="4" spans="1:8" ht="15.75" x14ac:dyDescent="0.3">
      <c r="A4" s="132" t="s">
        <v>46</v>
      </c>
      <c r="B4" s="203" t="s">
        <v>194</v>
      </c>
      <c r="C4" s="204" t="s">
        <v>92</v>
      </c>
      <c r="D4" s="204"/>
      <c r="E4" s="204"/>
      <c r="F4" s="204" t="s">
        <v>93</v>
      </c>
      <c r="G4" s="204"/>
      <c r="H4" s="205"/>
    </row>
    <row r="5" spans="1:8" x14ac:dyDescent="0.25">
      <c r="A5" s="132"/>
      <c r="B5" s="203"/>
      <c r="C5" s="181" t="s">
        <v>94</v>
      </c>
      <c r="D5" s="181" t="s">
        <v>95</v>
      </c>
      <c r="E5" s="181" t="s">
        <v>96</v>
      </c>
      <c r="F5" s="181" t="s">
        <v>94</v>
      </c>
      <c r="G5" s="181" t="s">
        <v>95</v>
      </c>
      <c r="H5" s="206" t="s">
        <v>96</v>
      </c>
    </row>
    <row r="6" spans="1:8" ht="15.75" x14ac:dyDescent="0.3">
      <c r="A6" s="143">
        <v>1</v>
      </c>
      <c r="B6" s="207" t="s">
        <v>195</v>
      </c>
      <c r="C6" s="208">
        <v>0</v>
      </c>
      <c r="D6" s="208">
        <v>0</v>
      </c>
      <c r="E6" s="209">
        <f t="shared" ref="E6:E43" si="0">C6+D6</f>
        <v>0</v>
      </c>
      <c r="F6" s="208">
        <v>0</v>
      </c>
      <c r="G6" s="208">
        <v>0</v>
      </c>
      <c r="H6" s="210">
        <f t="shared" ref="H6:H43" si="1">F6+G6</f>
        <v>0</v>
      </c>
    </row>
    <row r="7" spans="1:8" ht="15.75" x14ac:dyDescent="0.3">
      <c r="A7" s="143">
        <v>2</v>
      </c>
      <c r="B7" s="207" t="s">
        <v>196</v>
      </c>
      <c r="C7" s="208">
        <v>0</v>
      </c>
      <c r="D7" s="208">
        <v>0</v>
      </c>
      <c r="E7" s="209">
        <f t="shared" si="0"/>
        <v>0</v>
      </c>
      <c r="F7" s="208">
        <v>0</v>
      </c>
      <c r="G7" s="208">
        <v>0</v>
      </c>
      <c r="H7" s="210">
        <f t="shared" si="1"/>
        <v>0</v>
      </c>
    </row>
    <row r="8" spans="1:8" ht="15.75" x14ac:dyDescent="0.3">
      <c r="A8" s="143">
        <v>3</v>
      </c>
      <c r="B8" s="207" t="s">
        <v>197</v>
      </c>
      <c r="C8" s="208">
        <f>C9+C10</f>
        <v>288000</v>
      </c>
      <c r="D8" s="208">
        <f>D9+D10</f>
        <v>593550580</v>
      </c>
      <c r="E8" s="209">
        <f t="shared" si="0"/>
        <v>593838580</v>
      </c>
      <c r="F8" s="208">
        <f>F9+F10</f>
        <v>117000</v>
      </c>
      <c r="G8" s="208">
        <f>G9+G10</f>
        <v>13780200</v>
      </c>
      <c r="H8" s="210">
        <f t="shared" si="1"/>
        <v>13897200</v>
      </c>
    </row>
    <row r="9" spans="1:8" ht="15.75" x14ac:dyDescent="0.3">
      <c r="A9" s="143">
        <v>3.1</v>
      </c>
      <c r="B9" s="211" t="s">
        <v>198</v>
      </c>
      <c r="C9" s="208">
        <v>288000</v>
      </c>
      <c r="D9" s="208">
        <v>593550580</v>
      </c>
      <c r="E9" s="209">
        <f t="shared" si="0"/>
        <v>593838580</v>
      </c>
      <c r="F9" s="208">
        <v>117000</v>
      </c>
      <c r="G9" s="208">
        <v>13780200</v>
      </c>
      <c r="H9" s="210">
        <f t="shared" si="1"/>
        <v>13897200</v>
      </c>
    </row>
    <row r="10" spans="1:8" ht="15.75" x14ac:dyDescent="0.3">
      <c r="A10" s="143">
        <v>3.2</v>
      </c>
      <c r="B10" s="211" t="s">
        <v>199</v>
      </c>
      <c r="C10" s="208">
        <v>0</v>
      </c>
      <c r="D10" s="208">
        <v>0</v>
      </c>
      <c r="E10" s="209">
        <f t="shared" si="0"/>
        <v>0</v>
      </c>
      <c r="F10" s="208">
        <v>0</v>
      </c>
      <c r="G10" s="208">
        <v>0</v>
      </c>
      <c r="H10" s="210">
        <f t="shared" si="1"/>
        <v>0</v>
      </c>
    </row>
    <row r="11" spans="1:8" ht="15.75" x14ac:dyDescent="0.3">
      <c r="A11" s="143">
        <v>4</v>
      </c>
      <c r="B11" s="207" t="s">
        <v>200</v>
      </c>
      <c r="C11" s="208">
        <f>C12+C13</f>
        <v>0</v>
      </c>
      <c r="D11" s="208">
        <f>D12+D13</f>
        <v>0</v>
      </c>
      <c r="E11" s="209">
        <f t="shared" si="0"/>
        <v>0</v>
      </c>
      <c r="F11" s="208">
        <f>F12+F13</f>
        <v>10620000</v>
      </c>
      <c r="G11" s="208">
        <f>G12+G13</f>
        <v>0</v>
      </c>
      <c r="H11" s="210">
        <f t="shared" si="1"/>
        <v>10620000</v>
      </c>
    </row>
    <row r="12" spans="1:8" ht="15.75" x14ac:dyDescent="0.3">
      <c r="A12" s="143">
        <v>4.0999999999999996</v>
      </c>
      <c r="B12" s="211" t="s">
        <v>201</v>
      </c>
      <c r="C12" s="208">
        <v>0</v>
      </c>
      <c r="D12" s="208">
        <v>0</v>
      </c>
      <c r="E12" s="209">
        <f t="shared" si="0"/>
        <v>0</v>
      </c>
      <c r="F12" s="208">
        <v>10620000</v>
      </c>
      <c r="G12" s="208">
        <v>0</v>
      </c>
      <c r="H12" s="210">
        <f t="shared" si="1"/>
        <v>10620000</v>
      </c>
    </row>
    <row r="13" spans="1:8" ht="15.75" x14ac:dyDescent="0.3">
      <c r="A13" s="143">
        <v>4.2</v>
      </c>
      <c r="B13" s="211" t="s">
        <v>202</v>
      </c>
      <c r="C13" s="208">
        <v>0</v>
      </c>
      <c r="D13" s="208">
        <v>0</v>
      </c>
      <c r="E13" s="209">
        <f t="shared" si="0"/>
        <v>0</v>
      </c>
      <c r="F13" s="208">
        <v>0</v>
      </c>
      <c r="G13" s="208">
        <v>0</v>
      </c>
      <c r="H13" s="210">
        <f t="shared" si="1"/>
        <v>0</v>
      </c>
    </row>
    <row r="14" spans="1:8" ht="15.75" x14ac:dyDescent="0.3">
      <c r="A14" s="143">
        <v>5</v>
      </c>
      <c r="B14" s="212" t="s">
        <v>203</v>
      </c>
      <c r="C14" s="208">
        <f>C15+C16+C17+C23+C24+C25+C26</f>
        <v>828227.73</v>
      </c>
      <c r="D14" s="208">
        <f>D15+D16+D17+D23+D24+D25+D26</f>
        <v>77807854.049999997</v>
      </c>
      <c r="E14" s="209">
        <f t="shared" si="0"/>
        <v>78636081.780000001</v>
      </c>
      <c r="F14" s="208">
        <f>F15+F16+F17+F23+F24+F25+F26</f>
        <v>3767139.09</v>
      </c>
      <c r="G14" s="208">
        <f>G15+G16+G17+G23+G24+G25+G26</f>
        <v>33566597.490000002</v>
      </c>
      <c r="H14" s="210">
        <f t="shared" si="1"/>
        <v>37333736.579999998</v>
      </c>
    </row>
    <row r="15" spans="1:8" ht="15.75" x14ac:dyDescent="0.3">
      <c r="A15" s="143">
        <v>5.0999999999999996</v>
      </c>
      <c r="B15" s="213" t="s">
        <v>204</v>
      </c>
      <c r="C15" s="208">
        <v>813227.73</v>
      </c>
      <c r="D15" s="208">
        <v>2890048.78</v>
      </c>
      <c r="E15" s="209">
        <f t="shared" si="0"/>
        <v>3703276.51</v>
      </c>
      <c r="F15" s="208">
        <v>585000</v>
      </c>
      <c r="G15" s="208">
        <v>32424</v>
      </c>
      <c r="H15" s="210">
        <f t="shared" si="1"/>
        <v>617424</v>
      </c>
    </row>
    <row r="16" spans="1:8" ht="15.75" x14ac:dyDescent="0.3">
      <c r="A16" s="143">
        <v>5.2</v>
      </c>
      <c r="B16" s="213" t="s">
        <v>205</v>
      </c>
      <c r="C16" s="208">
        <v>0</v>
      </c>
      <c r="D16" s="208">
        <v>0</v>
      </c>
      <c r="E16" s="209">
        <f t="shared" si="0"/>
        <v>0</v>
      </c>
      <c r="F16" s="208">
        <v>0</v>
      </c>
      <c r="G16" s="208">
        <v>0</v>
      </c>
      <c r="H16" s="210">
        <f t="shared" si="1"/>
        <v>0</v>
      </c>
    </row>
    <row r="17" spans="1:10" ht="15.75" x14ac:dyDescent="0.3">
      <c r="A17" s="143">
        <v>5.3</v>
      </c>
      <c r="B17" s="213" t="s">
        <v>206</v>
      </c>
      <c r="C17" s="208">
        <f>C18+C19+C20+C21+C22</f>
        <v>0</v>
      </c>
      <c r="D17" s="208">
        <f>D18+D19+D20+D21+D22</f>
        <v>65222787.210000001</v>
      </c>
      <c r="E17" s="209">
        <f t="shared" si="0"/>
        <v>65222787.210000001</v>
      </c>
      <c r="F17" s="208">
        <v>0</v>
      </c>
      <c r="G17" s="208">
        <v>28987169.240000002</v>
      </c>
      <c r="H17" s="210">
        <f t="shared" si="1"/>
        <v>28987169.240000002</v>
      </c>
    </row>
    <row r="18" spans="1:10" ht="15.75" x14ac:dyDescent="0.3">
      <c r="A18" s="143" t="s">
        <v>207</v>
      </c>
      <c r="B18" s="214" t="s">
        <v>208</v>
      </c>
      <c r="C18" s="208">
        <v>0</v>
      </c>
      <c r="D18" s="208">
        <v>14263232.9</v>
      </c>
      <c r="E18" s="209">
        <f t="shared" si="0"/>
        <v>14263232.9</v>
      </c>
      <c r="F18" s="208">
        <v>0</v>
      </c>
      <c r="G18" s="208">
        <v>5690412</v>
      </c>
      <c r="H18" s="210">
        <f t="shared" si="1"/>
        <v>5690412</v>
      </c>
    </row>
    <row r="19" spans="1:10" ht="15.75" x14ac:dyDescent="0.3">
      <c r="A19" s="143" t="s">
        <v>209</v>
      </c>
      <c r="B19" s="215" t="s">
        <v>210</v>
      </c>
      <c r="C19" s="208">
        <v>0</v>
      </c>
      <c r="D19" s="208">
        <v>16235638.859999999</v>
      </c>
      <c r="E19" s="209">
        <f t="shared" si="0"/>
        <v>16235638.859999999</v>
      </c>
      <c r="F19" s="208">
        <v>0</v>
      </c>
      <c r="G19" s="208">
        <v>6814173.7999999998</v>
      </c>
      <c r="H19" s="210">
        <f t="shared" si="1"/>
        <v>6814173.7999999998</v>
      </c>
    </row>
    <row r="20" spans="1:10" ht="15.75" x14ac:dyDescent="0.3">
      <c r="A20" s="143" t="s">
        <v>211</v>
      </c>
      <c r="B20" s="215" t="s">
        <v>212</v>
      </c>
      <c r="C20" s="208">
        <v>0</v>
      </c>
      <c r="D20" s="208">
        <v>2000913.6</v>
      </c>
      <c r="E20" s="209">
        <f t="shared" si="0"/>
        <v>2000913.6</v>
      </c>
      <c r="F20" s="208">
        <v>0</v>
      </c>
      <c r="G20" s="208">
        <v>671023.56999999995</v>
      </c>
      <c r="H20" s="210">
        <f t="shared" si="1"/>
        <v>671023.56999999995</v>
      </c>
    </row>
    <row r="21" spans="1:10" ht="15.75" x14ac:dyDescent="0.3">
      <c r="A21" s="143" t="s">
        <v>213</v>
      </c>
      <c r="B21" s="215" t="s">
        <v>214</v>
      </c>
      <c r="C21" s="208">
        <v>0</v>
      </c>
      <c r="D21" s="208">
        <v>32723001.850000001</v>
      </c>
      <c r="E21" s="209">
        <f t="shared" si="0"/>
        <v>32723001.850000001</v>
      </c>
      <c r="F21" s="208">
        <v>0</v>
      </c>
      <c r="G21" s="208">
        <v>15811559.869999999</v>
      </c>
      <c r="H21" s="210">
        <f t="shared" si="1"/>
        <v>15811559.869999999</v>
      </c>
    </row>
    <row r="22" spans="1:10" ht="15.75" x14ac:dyDescent="0.3">
      <c r="A22" s="143" t="s">
        <v>215</v>
      </c>
      <c r="B22" s="216" t="s">
        <v>216</v>
      </c>
      <c r="C22" s="208">
        <v>0</v>
      </c>
      <c r="D22" s="208">
        <v>0</v>
      </c>
      <c r="E22" s="209">
        <f t="shared" si="0"/>
        <v>0</v>
      </c>
      <c r="F22" s="208">
        <v>0</v>
      </c>
      <c r="G22" s="208">
        <v>0</v>
      </c>
      <c r="H22" s="210">
        <f t="shared" si="1"/>
        <v>0</v>
      </c>
    </row>
    <row r="23" spans="1:10" ht="15.75" x14ac:dyDescent="0.3">
      <c r="A23" s="143">
        <v>5.4</v>
      </c>
      <c r="B23" s="213" t="s">
        <v>217</v>
      </c>
      <c r="C23" s="208">
        <v>15000</v>
      </c>
      <c r="D23" s="208">
        <v>9695018.0600000005</v>
      </c>
      <c r="E23" s="209">
        <f t="shared" si="0"/>
        <v>9710018.0600000005</v>
      </c>
      <c r="F23" s="208">
        <v>15000</v>
      </c>
      <c r="G23" s="208">
        <v>0</v>
      </c>
      <c r="H23" s="210">
        <f t="shared" si="1"/>
        <v>15000</v>
      </c>
    </row>
    <row r="24" spans="1:10" ht="15.75" x14ac:dyDescent="0.3">
      <c r="A24" s="143">
        <v>5.5</v>
      </c>
      <c r="B24" s="213" t="s">
        <v>218</v>
      </c>
      <c r="C24" s="208">
        <v>0</v>
      </c>
      <c r="D24" s="208">
        <v>0</v>
      </c>
      <c r="E24" s="209">
        <f t="shared" si="0"/>
        <v>0</v>
      </c>
      <c r="F24" s="208">
        <v>989730.96</v>
      </c>
      <c r="G24" s="208">
        <v>0</v>
      </c>
      <c r="H24" s="210">
        <f t="shared" si="1"/>
        <v>989730.96</v>
      </c>
    </row>
    <row r="25" spans="1:10" ht="15.75" x14ac:dyDescent="0.3">
      <c r="A25" s="143">
        <v>5.6</v>
      </c>
      <c r="B25" s="213" t="s">
        <v>219</v>
      </c>
      <c r="C25" s="208">
        <v>0</v>
      </c>
      <c r="D25" s="208">
        <v>0</v>
      </c>
      <c r="E25" s="209">
        <f t="shared" si="0"/>
        <v>0</v>
      </c>
      <c r="F25" s="208">
        <v>0</v>
      </c>
      <c r="G25" s="208">
        <v>1766756.2</v>
      </c>
      <c r="H25" s="210">
        <f t="shared" si="1"/>
        <v>1766756.2</v>
      </c>
    </row>
    <row r="26" spans="1:10" ht="15.75" x14ac:dyDescent="0.3">
      <c r="A26" s="143">
        <v>5.7</v>
      </c>
      <c r="B26" s="213" t="s">
        <v>216</v>
      </c>
      <c r="C26" s="208">
        <v>0</v>
      </c>
      <c r="D26" s="208">
        <v>0</v>
      </c>
      <c r="E26" s="209">
        <f t="shared" si="0"/>
        <v>0</v>
      </c>
      <c r="F26" s="208">
        <v>2177408.13</v>
      </c>
      <c r="G26" s="208">
        <v>2780248.05</v>
      </c>
      <c r="H26" s="210">
        <f t="shared" si="1"/>
        <v>4957656.18</v>
      </c>
    </row>
    <row r="27" spans="1:10" ht="15.75" x14ac:dyDescent="0.3">
      <c r="A27" s="143">
        <v>6</v>
      </c>
      <c r="B27" s="212" t="s">
        <v>220</v>
      </c>
      <c r="C27" s="208">
        <v>1788721</v>
      </c>
      <c r="D27" s="208">
        <v>1680834.63</v>
      </c>
      <c r="E27" s="209">
        <f t="shared" si="0"/>
        <v>3469555.63</v>
      </c>
      <c r="F27" s="208">
        <v>701969.57</v>
      </c>
      <c r="G27" s="208">
        <v>27020</v>
      </c>
      <c r="H27" s="210">
        <f t="shared" si="1"/>
        <v>728989.57</v>
      </c>
    </row>
    <row r="28" spans="1:10" ht="15.75" x14ac:dyDescent="0.3">
      <c r="A28" s="143">
        <v>7</v>
      </c>
      <c r="B28" s="212" t="s">
        <v>221</v>
      </c>
      <c r="C28" s="208">
        <v>2191965.4</v>
      </c>
      <c r="D28" s="208">
        <v>2095226.82</v>
      </c>
      <c r="E28" s="209">
        <f t="shared" si="0"/>
        <v>4287192.22</v>
      </c>
      <c r="F28" s="208">
        <v>729500</v>
      </c>
      <c r="G28" s="208">
        <v>945700</v>
      </c>
      <c r="H28" s="210">
        <f t="shared" si="1"/>
        <v>1675200</v>
      </c>
    </row>
    <row r="29" spans="1:10" ht="15.75" x14ac:dyDescent="0.3">
      <c r="A29" s="143">
        <v>8</v>
      </c>
      <c r="B29" s="212" t="s">
        <v>222</v>
      </c>
      <c r="C29" s="208">
        <v>0</v>
      </c>
      <c r="D29" s="208">
        <v>0</v>
      </c>
      <c r="E29" s="209">
        <f t="shared" si="0"/>
        <v>0</v>
      </c>
      <c r="F29" s="208">
        <v>0</v>
      </c>
      <c r="G29" s="208">
        <v>0</v>
      </c>
      <c r="H29" s="210">
        <f t="shared" si="1"/>
        <v>0</v>
      </c>
    </row>
    <row r="30" spans="1:10" ht="15.75" x14ac:dyDescent="0.3">
      <c r="A30" s="143">
        <v>9</v>
      </c>
      <c r="B30" s="207" t="s">
        <v>223</v>
      </c>
      <c r="C30" s="208">
        <f>C31+C32+C33+C34+C35+C36+C37</f>
        <v>1045600</v>
      </c>
      <c r="D30" s="208">
        <f>D31+D32+D33+D34+D35+D36+D37</f>
        <v>12102300</v>
      </c>
      <c r="E30" s="209">
        <f t="shared" si="0"/>
        <v>13147900</v>
      </c>
      <c r="F30" s="208">
        <f>F31+F32+F33+F34+F35+F36+F37</f>
        <v>4747200</v>
      </c>
      <c r="G30" s="208">
        <f>G31+G32+G33+G34+G35+G36+G37</f>
        <v>8645859.5999999996</v>
      </c>
      <c r="H30" s="210">
        <f t="shared" si="1"/>
        <v>13393059.6</v>
      </c>
    </row>
    <row r="31" spans="1:10" ht="25.5" x14ac:dyDescent="0.3">
      <c r="A31" s="143">
        <v>9.1</v>
      </c>
      <c r="B31" s="211" t="s">
        <v>224</v>
      </c>
      <c r="C31" s="208">
        <v>0</v>
      </c>
      <c r="D31" s="208">
        <v>0</v>
      </c>
      <c r="E31" s="209">
        <f>C31+D31</f>
        <v>0</v>
      </c>
      <c r="F31" s="208">
        <v>0</v>
      </c>
      <c r="G31" s="208">
        <v>0</v>
      </c>
      <c r="H31" s="210">
        <f t="shared" si="1"/>
        <v>0</v>
      </c>
      <c r="J31" s="60"/>
    </row>
    <row r="32" spans="1:10" ht="25.5" x14ac:dyDescent="0.3">
      <c r="A32" s="143">
        <v>9.1999999999999993</v>
      </c>
      <c r="B32" s="211" t="s">
        <v>225</v>
      </c>
      <c r="C32" s="208">
        <v>1045600</v>
      </c>
      <c r="D32" s="208">
        <v>12102300</v>
      </c>
      <c r="E32" s="209">
        <f t="shared" si="0"/>
        <v>13147900</v>
      </c>
      <c r="F32" s="208">
        <v>4747200</v>
      </c>
      <c r="G32" s="208">
        <v>8645859.5999999996</v>
      </c>
      <c r="H32" s="210">
        <f t="shared" si="1"/>
        <v>13393059.6</v>
      </c>
    </row>
    <row r="33" spans="1:8" ht="15.75" x14ac:dyDescent="0.3">
      <c r="A33" s="143">
        <v>9.3000000000000007</v>
      </c>
      <c r="B33" s="211" t="s">
        <v>226</v>
      </c>
      <c r="C33" s="208">
        <v>0</v>
      </c>
      <c r="D33" s="208">
        <v>0</v>
      </c>
      <c r="E33" s="209">
        <f t="shared" si="0"/>
        <v>0</v>
      </c>
      <c r="F33" s="208">
        <v>0</v>
      </c>
      <c r="G33" s="208">
        <v>0</v>
      </c>
      <c r="H33" s="210">
        <f t="shared" si="1"/>
        <v>0</v>
      </c>
    </row>
    <row r="34" spans="1:8" ht="15.75" x14ac:dyDescent="0.3">
      <c r="A34" s="143">
        <v>9.4</v>
      </c>
      <c r="B34" s="211" t="s">
        <v>227</v>
      </c>
      <c r="C34" s="208">
        <v>0</v>
      </c>
      <c r="D34" s="208">
        <v>0</v>
      </c>
      <c r="E34" s="209">
        <f t="shared" si="0"/>
        <v>0</v>
      </c>
      <c r="F34" s="208">
        <v>0</v>
      </c>
      <c r="G34" s="208">
        <v>0</v>
      </c>
      <c r="H34" s="210">
        <f t="shared" si="1"/>
        <v>0</v>
      </c>
    </row>
    <row r="35" spans="1:8" ht="15.75" x14ac:dyDescent="0.3">
      <c r="A35" s="143">
        <v>9.5</v>
      </c>
      <c r="B35" s="211" t="s">
        <v>228</v>
      </c>
      <c r="C35" s="208">
        <v>0</v>
      </c>
      <c r="D35" s="208">
        <v>0</v>
      </c>
      <c r="E35" s="209">
        <f t="shared" si="0"/>
        <v>0</v>
      </c>
      <c r="F35" s="208">
        <v>0</v>
      </c>
      <c r="G35" s="208">
        <v>0</v>
      </c>
      <c r="H35" s="210">
        <f t="shared" si="1"/>
        <v>0</v>
      </c>
    </row>
    <row r="36" spans="1:8" ht="25.5" x14ac:dyDescent="0.3">
      <c r="A36" s="143">
        <v>9.6</v>
      </c>
      <c r="B36" s="211" t="s">
        <v>229</v>
      </c>
      <c r="C36" s="208">
        <v>0</v>
      </c>
      <c r="D36" s="208">
        <v>0</v>
      </c>
      <c r="E36" s="209">
        <f t="shared" si="0"/>
        <v>0</v>
      </c>
      <c r="F36" s="208">
        <v>0</v>
      </c>
      <c r="G36" s="208">
        <v>0</v>
      </c>
      <c r="H36" s="210">
        <f t="shared" si="1"/>
        <v>0</v>
      </c>
    </row>
    <row r="37" spans="1:8" ht="25.5" x14ac:dyDescent="0.3">
      <c r="A37" s="143">
        <v>9.6999999999999993</v>
      </c>
      <c r="B37" s="211" t="s">
        <v>230</v>
      </c>
      <c r="C37" s="208">
        <v>0</v>
      </c>
      <c r="D37" s="208">
        <v>0</v>
      </c>
      <c r="E37" s="209">
        <f t="shared" si="0"/>
        <v>0</v>
      </c>
      <c r="F37" s="208">
        <v>0</v>
      </c>
      <c r="G37" s="208">
        <v>0</v>
      </c>
      <c r="H37" s="210">
        <f t="shared" si="1"/>
        <v>0</v>
      </c>
    </row>
    <row r="38" spans="1:8" ht="15.75" x14ac:dyDescent="0.3">
      <c r="A38" s="143">
        <v>10</v>
      </c>
      <c r="B38" s="212" t="s">
        <v>231</v>
      </c>
      <c r="C38" s="208">
        <f>C39+C40+C41+C42</f>
        <v>7879118.0599999968</v>
      </c>
      <c r="D38" s="208">
        <f>D39+D40+D41+D42</f>
        <v>4714629.0600000005</v>
      </c>
      <c r="E38" s="209">
        <f t="shared" si="0"/>
        <v>12593747.119999997</v>
      </c>
      <c r="F38" s="208">
        <f>F39+F40+F41+F42</f>
        <v>8675452</v>
      </c>
      <c r="G38" s="208">
        <f>G39+G40+G41+G42</f>
        <v>6425042</v>
      </c>
      <c r="H38" s="210">
        <f t="shared" si="1"/>
        <v>15100494</v>
      </c>
    </row>
    <row r="39" spans="1:8" ht="15.75" x14ac:dyDescent="0.3">
      <c r="A39" s="143">
        <v>10.1</v>
      </c>
      <c r="B39" s="211" t="s">
        <v>232</v>
      </c>
      <c r="C39" s="208">
        <v>26340.789999999997</v>
      </c>
      <c r="D39" s="208">
        <v>0</v>
      </c>
      <c r="E39" s="209">
        <f t="shared" si="0"/>
        <v>26340.789999999997</v>
      </c>
      <c r="F39" s="208">
        <v>50149</v>
      </c>
      <c r="G39" s="208">
        <v>0</v>
      </c>
      <c r="H39" s="210">
        <f t="shared" si="1"/>
        <v>50149</v>
      </c>
    </row>
    <row r="40" spans="1:8" ht="25.5" x14ac:dyDescent="0.3">
      <c r="A40" s="143">
        <v>10.199999999999999</v>
      </c>
      <c r="B40" s="211" t="s">
        <v>233</v>
      </c>
      <c r="C40" s="208">
        <v>1579986</v>
      </c>
      <c r="D40" s="208">
        <v>2213443</v>
      </c>
      <c r="E40" s="209">
        <f t="shared" si="0"/>
        <v>3793429</v>
      </c>
      <c r="F40" s="208">
        <v>1141496</v>
      </c>
      <c r="G40" s="208">
        <v>1407848</v>
      </c>
      <c r="H40" s="210">
        <f t="shared" si="1"/>
        <v>2549344</v>
      </c>
    </row>
    <row r="41" spans="1:8" ht="25.5" x14ac:dyDescent="0.3">
      <c r="A41" s="143">
        <v>10.3</v>
      </c>
      <c r="B41" s="211" t="s">
        <v>234</v>
      </c>
      <c r="C41" s="208">
        <v>4328658.2699999968</v>
      </c>
      <c r="D41" s="208">
        <v>154528.06</v>
      </c>
      <c r="E41" s="209">
        <f t="shared" si="0"/>
        <v>4483186.3299999963</v>
      </c>
      <c r="F41" s="208">
        <v>4146758</v>
      </c>
      <c r="G41" s="208">
        <v>1168220</v>
      </c>
      <c r="H41" s="210">
        <f t="shared" si="1"/>
        <v>5314978</v>
      </c>
    </row>
    <row r="42" spans="1:8" ht="25.5" x14ac:dyDescent="0.3">
      <c r="A42" s="143">
        <v>10.4</v>
      </c>
      <c r="B42" s="211" t="s">
        <v>235</v>
      </c>
      <c r="C42" s="208">
        <v>1944133</v>
      </c>
      <c r="D42" s="208">
        <v>2346658</v>
      </c>
      <c r="E42" s="209">
        <f t="shared" si="0"/>
        <v>4290791</v>
      </c>
      <c r="F42" s="208">
        <v>3337049</v>
      </c>
      <c r="G42" s="208">
        <v>3848974</v>
      </c>
      <c r="H42" s="210">
        <f t="shared" si="1"/>
        <v>7186023</v>
      </c>
    </row>
    <row r="43" spans="1:8" ht="15.75" x14ac:dyDescent="0.3">
      <c r="A43" s="143">
        <v>11</v>
      </c>
      <c r="B43" s="217" t="s">
        <v>236</v>
      </c>
      <c r="C43" s="208">
        <v>0</v>
      </c>
      <c r="D43" s="208">
        <v>0</v>
      </c>
      <c r="E43" s="209">
        <f t="shared" si="0"/>
        <v>0</v>
      </c>
      <c r="F43" s="208">
        <v>0</v>
      </c>
      <c r="G43" s="208">
        <v>0</v>
      </c>
      <c r="H43" s="210">
        <f t="shared" si="1"/>
        <v>0</v>
      </c>
    </row>
    <row r="44" spans="1:8" ht="15.75" x14ac:dyDescent="0.3">
      <c r="C44" s="218"/>
      <c r="D44" s="218"/>
      <c r="E44" s="218"/>
      <c r="F44" s="218"/>
      <c r="G44" s="218"/>
      <c r="H44" s="218"/>
    </row>
    <row r="45" spans="1:8" ht="15.75" x14ac:dyDescent="0.3">
      <c r="C45" s="218"/>
      <c r="D45" s="218"/>
      <c r="E45" s="218"/>
      <c r="F45" s="218"/>
      <c r="G45" s="218"/>
      <c r="H45" s="218"/>
    </row>
    <row r="46" spans="1:8" ht="15.75" x14ac:dyDescent="0.3">
      <c r="C46" s="218"/>
      <c r="D46" s="218"/>
      <c r="E46" s="218"/>
      <c r="F46" s="218"/>
      <c r="G46" s="218"/>
      <c r="H46" s="218"/>
    </row>
    <row r="47" spans="1:8" ht="15.75" x14ac:dyDescent="0.3">
      <c r="C47" s="218"/>
      <c r="D47" s="218"/>
      <c r="E47" s="218"/>
      <c r="F47" s="218"/>
      <c r="G47" s="218"/>
      <c r="H47" s="218"/>
    </row>
    <row r="51" spans="5:6" x14ac:dyDescent="0.25">
      <c r="E51" s="60"/>
      <c r="F51" s="60"/>
    </row>
  </sheetData>
  <mergeCells count="4">
    <mergeCell ref="A4:A5"/>
    <mergeCell ref="B4:B5"/>
    <mergeCell ref="C4:E4"/>
    <mergeCell ref="F4:H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CC89D-276E-41D5-823E-3B1D9408C297}">
  <dimension ref="A1:G22"/>
  <sheetViews>
    <sheetView zoomScale="130" zoomScaleNormal="130" workbookViewId="0">
      <pane xSplit="1" ySplit="4" topLeftCell="B5" activePane="bottomRight" state="frozen"/>
      <selection activeCell="J35" sqref="J35"/>
      <selection pane="topRight" activeCell="J35" sqref="J35"/>
      <selection pane="bottomLeft" activeCell="J35" sqref="J35"/>
      <selection pane="bottomRight" activeCell="C6" sqref="C6:G13"/>
    </sheetView>
  </sheetViews>
  <sheetFormatPr defaultColWidth="9.140625" defaultRowHeight="12.75" x14ac:dyDescent="0.2"/>
  <cols>
    <col min="1" max="1" width="9.5703125" style="22" bestFit="1" customWidth="1"/>
    <col min="2" max="2" width="93.5703125" style="22" customWidth="1"/>
    <col min="3" max="5" width="11.7109375" style="22" customWidth="1"/>
    <col min="6" max="6" width="11.7109375" style="219" customWidth="1"/>
    <col min="7" max="7" width="13.7109375" style="219" customWidth="1"/>
    <col min="8" max="8" width="9.7109375" style="219" customWidth="1"/>
    <col min="9" max="16384" width="9.140625" style="219"/>
  </cols>
  <sheetData>
    <row r="1" spans="1:7" ht="15" x14ac:dyDescent="0.3">
      <c r="A1" s="23" t="s">
        <v>41</v>
      </c>
      <c r="B1" s="25" t="str">
        <f>Info!C2</f>
        <v>სს სილქ ბანკი</v>
      </c>
      <c r="C1" s="25"/>
      <c r="D1" s="25"/>
    </row>
    <row r="2" spans="1:7" ht="15" x14ac:dyDescent="0.3">
      <c r="A2" s="23" t="s">
        <v>42</v>
      </c>
      <c r="B2" s="26">
        <f>'1. key ratios'!B2</f>
        <v>45291</v>
      </c>
      <c r="C2" s="25"/>
      <c r="D2" s="25"/>
    </row>
    <row r="3" spans="1:7" ht="15" x14ac:dyDescent="0.3">
      <c r="A3" s="23"/>
      <c r="B3" s="25"/>
      <c r="C3" s="25"/>
      <c r="D3" s="25"/>
    </row>
    <row r="4" spans="1:7" ht="40.5" customHeight="1" thickBot="1" x14ac:dyDescent="0.35">
      <c r="A4" s="220" t="s">
        <v>237</v>
      </c>
      <c r="B4" s="221" t="s">
        <v>16</v>
      </c>
      <c r="C4" s="222" t="s">
        <v>238</v>
      </c>
      <c r="D4" s="222"/>
    </row>
    <row r="5" spans="1:7" ht="15" customHeight="1" x14ac:dyDescent="0.2">
      <c r="A5" s="223" t="s">
        <v>46</v>
      </c>
      <c r="B5" s="224"/>
      <c r="C5" s="225" t="str">
        <f>INT((MONTH($B$2))/3)&amp;"Q"&amp;"-"&amp;YEAR($B$2)</f>
        <v>4Q-2023</v>
      </c>
      <c r="D5" s="225" t="str">
        <f>IF(INT(MONTH($B$2))=3, "4"&amp;"Q"&amp;"-"&amp;YEAR($B$2)-1, IF(INT(MONTH($B$2))=6, "1"&amp;"Q"&amp;"-"&amp;YEAR($B$2), IF(INT(MONTH($B$2))=9, "2"&amp;"Q"&amp;"-"&amp;YEAR($B$2),IF(INT(MONTH($B$2))=12, "3"&amp;"Q"&amp;"-"&amp;YEAR($B$2), 0))))</f>
        <v>3Q-2023</v>
      </c>
      <c r="E5" s="225" t="str">
        <f>IF(INT(MONTH($B$2))=3, "3"&amp;"Q"&amp;"-"&amp;YEAR($B$2)-1, IF(INT(MONTH($B$2))=6, "4"&amp;"Q"&amp;"-"&amp;YEAR($B$2)-1, IF(INT(MONTH($B$2))=9, "1"&amp;"Q"&amp;"-"&amp;YEAR($B$2),IF(INT(MONTH($B$2))=12, "2"&amp;"Q"&amp;"-"&amp;YEAR($B$2), 0))))</f>
        <v>2Q-2023</v>
      </c>
      <c r="F5" s="225" t="str">
        <f>IF(INT(MONTH($B$2))=3, "2"&amp;"Q"&amp;"-"&amp;YEAR($B$2)-1, IF(INT(MONTH($B$2))=6, "3"&amp;"Q"&amp;"-"&amp;YEAR($B$2)-1, IF(INT(MONTH($B$2))=9, "4"&amp;"Q"&amp;"-"&amp;YEAR($B$2)-1,IF(INT(MONTH($B$2))=12, "1"&amp;"Q"&amp;"-"&amp;YEAR($B$2), 0))))</f>
        <v>1Q-2023</v>
      </c>
      <c r="G5" s="225" t="str">
        <f>IF(INT(MONTH($B$2))=3, "1"&amp;"Q"&amp;"-"&amp;YEAR($B$2)-1, IF(INT(MONTH($B$2))=6, "2"&amp;"Q"&amp;"-"&amp;YEAR($B$2)-1, IF(INT(MONTH($B$2))=9, "3"&amp;"Q"&amp;"-"&amp;YEAR($B$2)-1,IF(INT(MONTH($B$2))=12, "4"&amp;"Q"&amp;"-"&amp;YEAR($B$2)-1, 0))))</f>
        <v>4Q-2022</v>
      </c>
    </row>
    <row r="6" spans="1:7" ht="15" customHeight="1" x14ac:dyDescent="0.2">
      <c r="A6" s="226">
        <v>1</v>
      </c>
      <c r="B6" s="227" t="s">
        <v>239</v>
      </c>
      <c r="C6" s="228">
        <f>C7+C9+C10</f>
        <v>110764522.38074145</v>
      </c>
      <c r="D6" s="228">
        <f>D7+D9+D10</f>
        <v>79633223.293629467</v>
      </c>
      <c r="E6" s="228">
        <f>E7+E9+E10</f>
        <v>61938851.293507352</v>
      </c>
      <c r="F6" s="228">
        <f>F7+F9+F10</f>
        <v>48673601.495233156</v>
      </c>
      <c r="G6" s="229">
        <f>G7+G9+G10</f>
        <v>52131562.31952107</v>
      </c>
    </row>
    <row r="7" spans="1:7" ht="15" customHeight="1" x14ac:dyDescent="0.2">
      <c r="A7" s="226">
        <v>1.1000000000000001</v>
      </c>
      <c r="B7" s="231" t="s">
        <v>240</v>
      </c>
      <c r="C7" s="232">
        <v>106221900.62103853</v>
      </c>
      <c r="D7" s="232">
        <v>75682512.27550739</v>
      </c>
      <c r="E7" s="233">
        <v>60964339.293507352</v>
      </c>
      <c r="F7" s="232">
        <v>47707923.095233157</v>
      </c>
      <c r="G7" s="234">
        <v>50188501.127521068</v>
      </c>
    </row>
    <row r="8" spans="1:7" ht="25.5" x14ac:dyDescent="0.2">
      <c r="A8" s="226" t="s">
        <v>241</v>
      </c>
      <c r="B8" s="235" t="s">
        <v>242</v>
      </c>
      <c r="C8" s="232"/>
      <c r="D8" s="232"/>
      <c r="E8" s="233"/>
      <c r="F8" s="232"/>
      <c r="G8" s="234"/>
    </row>
    <row r="9" spans="1:7" ht="15" customHeight="1" x14ac:dyDescent="0.2">
      <c r="A9" s="226">
        <v>1.2</v>
      </c>
      <c r="B9" s="231" t="s">
        <v>243</v>
      </c>
      <c r="C9" s="232">
        <v>4279663.7597029284</v>
      </c>
      <c r="D9" s="232">
        <v>3817303.0181220695</v>
      </c>
      <c r="E9" s="233">
        <v>759877</v>
      </c>
      <c r="F9" s="232">
        <v>755104</v>
      </c>
      <c r="G9" s="234">
        <v>1675200</v>
      </c>
    </row>
    <row r="10" spans="1:7" ht="15" customHeight="1" x14ac:dyDescent="0.2">
      <c r="A10" s="226">
        <v>1.3</v>
      </c>
      <c r="B10" s="236" t="s">
        <v>28</v>
      </c>
      <c r="C10" s="232">
        <v>262958</v>
      </c>
      <c r="D10" s="232">
        <v>133408</v>
      </c>
      <c r="E10" s="233">
        <v>214635</v>
      </c>
      <c r="F10" s="232">
        <v>210574.4</v>
      </c>
      <c r="G10" s="234">
        <v>267861.19199999998</v>
      </c>
    </row>
    <row r="11" spans="1:7" ht="15" customHeight="1" x14ac:dyDescent="0.2">
      <c r="A11" s="226">
        <v>2</v>
      </c>
      <c r="B11" s="227" t="s">
        <v>244</v>
      </c>
      <c r="C11" s="232">
        <v>749272.26096899912</v>
      </c>
      <c r="D11" s="232">
        <v>297313.52988999954</v>
      </c>
      <c r="E11" s="233">
        <v>229858.94887295188</v>
      </c>
      <c r="F11" s="232">
        <v>176313.25844009916</v>
      </c>
      <c r="G11" s="234">
        <v>558585.90173394338</v>
      </c>
    </row>
    <row r="12" spans="1:7" ht="15" customHeight="1" x14ac:dyDescent="0.2">
      <c r="A12" s="226">
        <v>3</v>
      </c>
      <c r="B12" s="227" t="s">
        <v>245</v>
      </c>
      <c r="C12" s="232">
        <v>9168301.2517249286</v>
      </c>
      <c r="D12" s="232">
        <v>8764146.5926030725</v>
      </c>
      <c r="E12" s="233">
        <v>8764146.5926030725</v>
      </c>
      <c r="F12" s="232">
        <v>8764146.5926030725</v>
      </c>
      <c r="G12" s="234">
        <v>8764146.5926030725</v>
      </c>
    </row>
    <row r="13" spans="1:7" ht="15" customHeight="1" thickBot="1" x14ac:dyDescent="0.25">
      <c r="A13" s="237">
        <v>4</v>
      </c>
      <c r="B13" s="238" t="s">
        <v>246</v>
      </c>
      <c r="C13" s="239">
        <f>C6+C11+C12</f>
        <v>120682095.89343537</v>
      </c>
      <c r="D13" s="239">
        <f>D6+D11+D12</f>
        <v>88694683.416122541</v>
      </c>
      <c r="E13" s="239">
        <f>E6+E11+E12</f>
        <v>70932856.834983379</v>
      </c>
      <c r="F13" s="239">
        <f>F6+F11+F12</f>
        <v>57614061.346276328</v>
      </c>
      <c r="G13" s="240">
        <f>G6+G11+G12</f>
        <v>61454294.813858084</v>
      </c>
    </row>
    <row r="14" spans="1:7" x14ac:dyDescent="0.2">
      <c r="B14" s="128"/>
    </row>
    <row r="15" spans="1:7" ht="25.5" x14ac:dyDescent="0.2">
      <c r="B15" s="128" t="s">
        <v>247</v>
      </c>
    </row>
    <row r="16" spans="1:7" x14ac:dyDescent="0.2">
      <c r="B16" s="128"/>
    </row>
    <row r="17" spans="2:4" x14ac:dyDescent="0.2">
      <c r="B17" s="128"/>
    </row>
    <row r="18" spans="2:4" x14ac:dyDescent="0.2">
      <c r="B18" s="128"/>
      <c r="D18" s="241"/>
    </row>
    <row r="22" spans="2:4" x14ac:dyDescent="0.2">
      <c r="B22" s="24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BF72F-57CB-451C-BFA3-C5258C02E4B3}">
  <dimension ref="A1:C36"/>
  <sheetViews>
    <sheetView showGridLines="0" zoomScale="90" zoomScaleNormal="90" workbookViewId="0">
      <pane xSplit="1" ySplit="4" topLeftCell="B13" activePane="bottomRight" state="frozen"/>
      <selection activeCell="J35" sqref="J35"/>
      <selection pane="topRight" activeCell="J35" sqref="J35"/>
      <selection pane="bottomLeft" activeCell="J35" sqref="J35"/>
      <selection pane="bottomRight" activeCell="C29" sqref="C29:C36"/>
    </sheetView>
  </sheetViews>
  <sheetFormatPr defaultRowHeight="15" x14ac:dyDescent="0.25"/>
  <cols>
    <col min="1" max="1" width="9.5703125" style="22" bestFit="1" customWidth="1"/>
    <col min="2" max="2" width="53.7109375" style="22" customWidth="1"/>
    <col min="3" max="3" width="36.140625" style="22" customWidth="1"/>
  </cols>
  <sheetData>
    <row r="1" spans="1:3" x14ac:dyDescent="0.25">
      <c r="A1" s="22" t="s">
        <v>41</v>
      </c>
      <c r="B1" s="22" t="str">
        <f>Info!C2</f>
        <v>სს სილქ ბანკი</v>
      </c>
    </row>
    <row r="2" spans="1:3" x14ac:dyDescent="0.25">
      <c r="A2" s="22" t="s">
        <v>42</v>
      </c>
      <c r="B2" s="26">
        <f>'1. key ratios'!B2</f>
        <v>45291</v>
      </c>
    </row>
    <row r="4" spans="1:3" ht="40.5" customHeight="1" thickBot="1" x14ac:dyDescent="0.35">
      <c r="A4" s="243" t="s">
        <v>248</v>
      </c>
      <c r="B4" s="244" t="s">
        <v>17</v>
      </c>
      <c r="C4" s="244"/>
    </row>
    <row r="5" spans="1:3" ht="15.75" x14ac:dyDescent="0.3">
      <c r="A5" s="245"/>
      <c r="B5" s="246" t="s">
        <v>249</v>
      </c>
      <c r="C5" s="247" t="s">
        <v>250</v>
      </c>
    </row>
    <row r="6" spans="1:3" x14ac:dyDescent="0.25">
      <c r="A6" s="248">
        <v>1</v>
      </c>
      <c r="B6" s="249" t="s">
        <v>251</v>
      </c>
      <c r="C6" s="250" t="s">
        <v>252</v>
      </c>
    </row>
    <row r="7" spans="1:3" x14ac:dyDescent="0.25">
      <c r="A7" s="248">
        <v>2</v>
      </c>
      <c r="B7" s="249" t="s">
        <v>253</v>
      </c>
      <c r="C7" s="250" t="s">
        <v>254</v>
      </c>
    </row>
    <row r="8" spans="1:3" x14ac:dyDescent="0.25">
      <c r="A8" s="248">
        <v>3</v>
      </c>
      <c r="B8" s="249" t="s">
        <v>255</v>
      </c>
      <c r="C8" s="250" t="s">
        <v>254</v>
      </c>
    </row>
    <row r="9" spans="1:3" x14ac:dyDescent="0.25">
      <c r="A9" s="248">
        <v>4</v>
      </c>
      <c r="B9" s="249" t="s">
        <v>256</v>
      </c>
      <c r="C9" s="250" t="s">
        <v>254</v>
      </c>
    </row>
    <row r="10" spans="1:3" x14ac:dyDescent="0.25">
      <c r="A10" s="248">
        <v>5</v>
      </c>
      <c r="B10" s="249" t="s">
        <v>257</v>
      </c>
      <c r="C10" s="250" t="s">
        <v>258</v>
      </c>
    </row>
    <row r="11" spans="1:3" x14ac:dyDescent="0.25">
      <c r="A11" s="248">
        <v>6</v>
      </c>
      <c r="B11" s="249" t="s">
        <v>259</v>
      </c>
      <c r="C11" s="250" t="s">
        <v>258</v>
      </c>
    </row>
    <row r="12" spans="1:3" x14ac:dyDescent="0.25">
      <c r="A12" s="248"/>
      <c r="B12" s="251"/>
      <c r="C12" s="252"/>
    </row>
    <row r="13" spans="1:3" ht="45" x14ac:dyDescent="0.25">
      <c r="A13" s="248"/>
      <c r="B13" s="253" t="s">
        <v>260</v>
      </c>
      <c r="C13" s="254" t="s">
        <v>261</v>
      </c>
    </row>
    <row r="14" spans="1:3" ht="15.75" x14ac:dyDescent="0.3">
      <c r="A14" s="846">
        <v>1</v>
      </c>
      <c r="B14" s="255" t="s">
        <v>262</v>
      </c>
      <c r="C14" s="256" t="s">
        <v>263</v>
      </c>
    </row>
    <row r="15" spans="1:3" ht="15.75" x14ac:dyDescent="0.3">
      <c r="A15" s="846">
        <v>2</v>
      </c>
      <c r="B15" s="257" t="s">
        <v>264</v>
      </c>
      <c r="C15" s="256" t="s">
        <v>265</v>
      </c>
    </row>
    <row r="16" spans="1:3" ht="15.75" x14ac:dyDescent="0.3">
      <c r="A16" s="846">
        <v>3</v>
      </c>
      <c r="B16" s="257" t="s">
        <v>266</v>
      </c>
      <c r="C16" s="256" t="s">
        <v>267</v>
      </c>
    </row>
    <row r="17" spans="1:3" ht="30" x14ac:dyDescent="0.3">
      <c r="A17" s="846">
        <v>4</v>
      </c>
      <c r="B17" s="257" t="s">
        <v>268</v>
      </c>
      <c r="C17" s="256" t="s">
        <v>269</v>
      </c>
    </row>
    <row r="18" spans="1:3" ht="15.75" x14ac:dyDescent="0.3">
      <c r="A18" s="846">
        <v>5</v>
      </c>
      <c r="B18" s="255" t="s">
        <v>270</v>
      </c>
      <c r="C18" s="256" t="s">
        <v>271</v>
      </c>
    </row>
    <row r="19" spans="1:3" ht="15.75" x14ac:dyDescent="0.3">
      <c r="A19" s="846">
        <v>6</v>
      </c>
      <c r="B19" s="255" t="s">
        <v>272</v>
      </c>
      <c r="C19" s="256" t="s">
        <v>273</v>
      </c>
    </row>
    <row r="20" spans="1:3" ht="30" x14ac:dyDescent="0.3">
      <c r="A20" s="846">
        <v>7</v>
      </c>
      <c r="B20" s="257" t="s">
        <v>274</v>
      </c>
      <c r="C20" s="256" t="s">
        <v>275</v>
      </c>
    </row>
    <row r="21" spans="1:3" ht="15.75" x14ac:dyDescent="0.3">
      <c r="A21" s="248"/>
      <c r="B21" s="255"/>
      <c r="C21" s="256"/>
    </row>
    <row r="22" spans="1:3" ht="15.75" x14ac:dyDescent="0.3">
      <c r="A22" s="248"/>
      <c r="B22" s="255"/>
      <c r="C22" s="258"/>
    </row>
    <row r="23" spans="1:3" ht="26.45" customHeight="1" x14ac:dyDescent="0.25">
      <c r="A23" s="248"/>
      <c r="B23" s="259" t="s">
        <v>276</v>
      </c>
      <c r="C23" s="260"/>
    </row>
    <row r="24" spans="1:3" ht="30" customHeight="1" x14ac:dyDescent="0.25">
      <c r="A24" s="248">
        <v>1</v>
      </c>
      <c r="B24" s="249" t="s">
        <v>277</v>
      </c>
      <c r="C24" s="262">
        <v>0.58832464561820241</v>
      </c>
    </row>
    <row r="25" spans="1:3" ht="15" customHeight="1" x14ac:dyDescent="0.25">
      <c r="A25" s="248">
        <v>2</v>
      </c>
      <c r="B25" s="249" t="s">
        <v>278</v>
      </c>
      <c r="C25" s="262">
        <v>0.36415547710952018</v>
      </c>
    </row>
    <row r="26" spans="1:3" x14ac:dyDescent="0.25">
      <c r="A26" s="248">
        <v>3</v>
      </c>
      <c r="B26" s="249" t="s">
        <v>279</v>
      </c>
      <c r="C26" s="262">
        <v>4.7469015648884345E-2</v>
      </c>
    </row>
    <row r="27" spans="1:3" x14ac:dyDescent="0.25">
      <c r="A27" s="248"/>
      <c r="B27" s="249"/>
      <c r="C27" s="263"/>
    </row>
    <row r="28" spans="1:3" ht="32.450000000000003" customHeight="1" x14ac:dyDescent="0.25">
      <c r="A28" s="248"/>
      <c r="B28" s="259" t="s">
        <v>280</v>
      </c>
      <c r="C28" s="260"/>
    </row>
    <row r="29" spans="1:3" ht="29.25" customHeight="1" x14ac:dyDescent="0.25">
      <c r="A29" s="248">
        <v>1</v>
      </c>
      <c r="B29" s="249" t="s">
        <v>277</v>
      </c>
      <c r="C29" s="265">
        <v>0.58832464561820241</v>
      </c>
    </row>
    <row r="30" spans="1:3" ht="15" customHeight="1" x14ac:dyDescent="0.25">
      <c r="A30" s="266">
        <v>1.1000000000000001</v>
      </c>
      <c r="B30" s="267" t="s">
        <v>281</v>
      </c>
      <c r="C30" s="268">
        <v>0.36417295563766733</v>
      </c>
    </row>
    <row r="31" spans="1:3" x14ac:dyDescent="0.25">
      <c r="A31" s="266">
        <v>1.2</v>
      </c>
      <c r="B31" s="267" t="s">
        <v>282</v>
      </c>
      <c r="C31" s="268">
        <v>0.16814318371768222</v>
      </c>
    </row>
    <row r="32" spans="1:3" x14ac:dyDescent="0.25">
      <c r="A32" s="266">
        <v>1.3</v>
      </c>
      <c r="B32" s="267" t="s">
        <v>283</v>
      </c>
      <c r="C32" s="268">
        <v>5.6008506262852878E-2</v>
      </c>
    </row>
    <row r="33" spans="1:3" x14ac:dyDescent="0.25">
      <c r="A33" s="266">
        <v>2</v>
      </c>
      <c r="B33" s="267" t="s">
        <v>278</v>
      </c>
      <c r="C33" s="268">
        <v>0.36415547710952018</v>
      </c>
    </row>
    <row r="34" spans="1:3" ht="27" x14ac:dyDescent="0.25">
      <c r="A34" s="266">
        <v>2.1</v>
      </c>
      <c r="B34" s="267" t="s">
        <v>284</v>
      </c>
      <c r="C34" s="269">
        <v>0.36415547710952018</v>
      </c>
    </row>
    <row r="35" spans="1:3" x14ac:dyDescent="0.25">
      <c r="A35" s="270" t="s">
        <v>285</v>
      </c>
      <c r="B35" s="267" t="s">
        <v>286</v>
      </c>
      <c r="C35" s="268">
        <v>0.36415547710952018</v>
      </c>
    </row>
    <row r="36" spans="1:3" ht="16.5" thickBot="1" x14ac:dyDescent="0.35">
      <c r="A36" s="271"/>
      <c r="B36" s="272"/>
      <c r="C36" s="273"/>
    </row>
  </sheetData>
  <mergeCells count="4">
    <mergeCell ref="B4:C4"/>
    <mergeCell ref="B12:C12"/>
    <mergeCell ref="B23:C23"/>
    <mergeCell ref="B28:C28"/>
  </mergeCells>
  <dataValidations count="1">
    <dataValidation type="list" allowBlank="1" showInputMessage="1" showErrorMessage="1" sqref="C6:C11" xr:uid="{0E4B7085-ED05-49A4-ADE1-D49284B1D5DD}">
      <formula1>"დამოუკიდებელი წევრი, არადამოუკიდებელ წევრი, დამოუკიდებელი თავმჯდომარე, არადამოუკიდებელი თავმჯდომარე"</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D7A68-3F97-438F-94F8-204EB2C22893}">
  <dimension ref="A1:G49"/>
  <sheetViews>
    <sheetView zoomScaleNormal="130" workbookViewId="0">
      <pane xSplit="1" ySplit="5" topLeftCell="B14" activePane="bottomRight" state="frozen"/>
      <selection activeCell="J35" sqref="J35"/>
      <selection pane="topRight" activeCell="J35" sqref="J35"/>
      <selection pane="bottomLeft" activeCell="J35" sqref="J35"/>
      <selection pane="bottomRight" activeCell="C8" sqref="C8:E37"/>
    </sheetView>
  </sheetViews>
  <sheetFormatPr defaultRowHeight="15" x14ac:dyDescent="0.25"/>
  <cols>
    <col min="1" max="1" width="9.5703125" style="22" bestFit="1" customWidth="1"/>
    <col min="2" max="2" width="47.5703125" style="22" customWidth="1"/>
    <col min="3" max="3" width="28" style="22" customWidth="1"/>
    <col min="4" max="4" width="25.5703125" style="22" customWidth="1"/>
    <col min="5" max="5" width="18.85546875" style="22" customWidth="1"/>
    <col min="6" max="6" width="12" style="274" bestFit="1" customWidth="1"/>
    <col min="7" max="7" width="62.140625" customWidth="1"/>
  </cols>
  <sheetData>
    <row r="1" spans="1:6" ht="15.75" x14ac:dyDescent="0.3">
      <c r="A1" s="23" t="s">
        <v>41</v>
      </c>
      <c r="B1" s="25" t="str">
        <f>Info!C2</f>
        <v>სს სილქ ბანკი</v>
      </c>
    </row>
    <row r="2" spans="1:6" s="23" customFormat="1" ht="15.75" customHeight="1" x14ac:dyDescent="0.3">
      <c r="A2" s="23" t="s">
        <v>42</v>
      </c>
      <c r="B2" s="26">
        <f>'1. key ratios'!B2</f>
        <v>45291</v>
      </c>
      <c r="F2" s="275"/>
    </row>
    <row r="3" spans="1:6" s="23" customFormat="1" ht="15.75" customHeight="1" x14ac:dyDescent="0.3">
      <c r="F3" s="275"/>
    </row>
    <row r="4" spans="1:6" s="23" customFormat="1" ht="40.5" customHeight="1" thickBot="1" x14ac:dyDescent="0.35">
      <c r="A4" s="276" t="s">
        <v>287</v>
      </c>
      <c r="B4" s="277" t="s">
        <v>18</v>
      </c>
      <c r="C4" s="278"/>
      <c r="D4" s="278"/>
      <c r="E4" s="279" t="s">
        <v>238</v>
      </c>
      <c r="F4" s="275"/>
    </row>
    <row r="5" spans="1:6" s="285" customFormat="1" ht="17.45" customHeight="1" x14ac:dyDescent="0.25">
      <c r="A5" s="280"/>
      <c r="B5" s="281"/>
      <c r="C5" s="282" t="s">
        <v>288</v>
      </c>
      <c r="D5" s="282" t="s">
        <v>289</v>
      </c>
      <c r="E5" s="283" t="s">
        <v>290</v>
      </c>
      <c r="F5" s="284"/>
    </row>
    <row r="6" spans="1:6" ht="14.45" customHeight="1" x14ac:dyDescent="0.25">
      <c r="A6" s="286"/>
      <c r="B6" s="287" t="s">
        <v>291</v>
      </c>
      <c r="C6" s="287" t="s">
        <v>292</v>
      </c>
      <c r="D6" s="288" t="s">
        <v>293</v>
      </c>
      <c r="E6" s="289"/>
    </row>
    <row r="7" spans="1:6" ht="99.6" customHeight="1" x14ac:dyDescent="0.25">
      <c r="A7" s="286"/>
      <c r="B7" s="287"/>
      <c r="C7" s="287"/>
      <c r="D7" s="290" t="s">
        <v>294</v>
      </c>
      <c r="E7" s="291" t="s">
        <v>295</v>
      </c>
    </row>
    <row r="8" spans="1:6" ht="22.5" customHeight="1" x14ac:dyDescent="0.25">
      <c r="A8" s="182">
        <v>1</v>
      </c>
      <c r="B8" s="144" t="s">
        <v>98</v>
      </c>
      <c r="C8" s="292">
        <f>SUM(C9:C11)</f>
        <v>54133789.841618873</v>
      </c>
      <c r="D8" s="292">
        <f>SUM(D9:D11)</f>
        <v>0</v>
      </c>
      <c r="E8" s="292">
        <f>SUM(E9:E11)</f>
        <v>54133789.841618873</v>
      </c>
      <c r="F8" s="293"/>
    </row>
    <row r="9" spans="1:6" x14ac:dyDescent="0.25">
      <c r="A9" s="182">
        <v>1.1000000000000001</v>
      </c>
      <c r="B9" s="147" t="s">
        <v>99</v>
      </c>
      <c r="C9" s="292">
        <f>'2. SOFP'!E8</f>
        <v>2443576.5099999942</v>
      </c>
      <c r="D9" s="292"/>
      <c r="E9" s="292">
        <f>C9-D9</f>
        <v>2443576.5099999942</v>
      </c>
    </row>
    <row r="10" spans="1:6" x14ac:dyDescent="0.25">
      <c r="A10" s="182">
        <v>1.2</v>
      </c>
      <c r="B10" s="147" t="s">
        <v>100</v>
      </c>
      <c r="C10" s="292">
        <f>'2. SOFP'!E9</f>
        <v>3053640.359999944</v>
      </c>
      <c r="D10" s="292"/>
      <c r="E10" s="292">
        <f t="shared" ref="E10:E15" si="0">C10-D10</f>
        <v>3053640.359999944</v>
      </c>
    </row>
    <row r="11" spans="1:6" x14ac:dyDescent="0.25">
      <c r="A11" s="182">
        <v>1.3</v>
      </c>
      <c r="B11" s="147" t="s">
        <v>101</v>
      </c>
      <c r="C11" s="292">
        <f>'2. SOFP'!E10</f>
        <v>48636572.971618935</v>
      </c>
      <c r="D11" s="292"/>
      <c r="E11" s="292">
        <f t="shared" si="0"/>
        <v>48636572.971618935</v>
      </c>
    </row>
    <row r="12" spans="1:6" x14ac:dyDescent="0.25">
      <c r="A12" s="182">
        <v>2</v>
      </c>
      <c r="B12" s="149" t="s">
        <v>102</v>
      </c>
      <c r="C12" s="292">
        <f>'2. SOFP'!E11</f>
        <v>134296.61193583731</v>
      </c>
      <c r="D12" s="292"/>
      <c r="E12" s="292">
        <f t="shared" si="0"/>
        <v>134296.61193583731</v>
      </c>
      <c r="F12" s="293"/>
    </row>
    <row r="13" spans="1:6" ht="21" x14ac:dyDescent="0.25">
      <c r="A13" s="182">
        <v>2.1</v>
      </c>
      <c r="B13" s="150" t="s">
        <v>103</v>
      </c>
      <c r="C13" s="292">
        <f>'2. SOFP'!E12</f>
        <v>134296.61193583731</v>
      </c>
      <c r="D13" s="292"/>
      <c r="E13" s="292">
        <f t="shared" si="0"/>
        <v>134296.61193583731</v>
      </c>
    </row>
    <row r="14" spans="1:6" ht="33.950000000000003" customHeight="1" x14ac:dyDescent="0.25">
      <c r="A14" s="182">
        <v>3</v>
      </c>
      <c r="B14" s="151" t="s">
        <v>104</v>
      </c>
      <c r="C14" s="292">
        <f>'2. SOFP'!E13</f>
        <v>0</v>
      </c>
      <c r="D14" s="292"/>
      <c r="E14" s="292">
        <f t="shared" si="0"/>
        <v>0</v>
      </c>
    </row>
    <row r="15" spans="1:6" ht="32.450000000000003" customHeight="1" x14ac:dyDescent="0.25">
      <c r="A15" s="182">
        <v>4</v>
      </c>
      <c r="B15" s="152" t="s">
        <v>105</v>
      </c>
      <c r="C15" s="292">
        <f>'2. SOFP'!E14</f>
        <v>0</v>
      </c>
      <c r="D15" s="292"/>
      <c r="E15" s="292">
        <f t="shared" si="0"/>
        <v>0</v>
      </c>
    </row>
    <row r="16" spans="1:6" ht="23.1" customHeight="1" x14ac:dyDescent="0.25">
      <c r="A16" s="182">
        <v>5</v>
      </c>
      <c r="B16" s="152" t="s">
        <v>106</v>
      </c>
      <c r="C16" s="292">
        <f>SUM(C17:C19)</f>
        <v>20000</v>
      </c>
      <c r="D16" s="292">
        <f>SUM(D17:D19)</f>
        <v>0</v>
      </c>
      <c r="E16" s="292">
        <f>SUM(E17:E19)</f>
        <v>20000</v>
      </c>
      <c r="F16" s="293"/>
    </row>
    <row r="17" spans="1:6" x14ac:dyDescent="0.25">
      <c r="A17" s="182">
        <v>5.0999999999999996</v>
      </c>
      <c r="B17" s="155" t="s">
        <v>107</v>
      </c>
      <c r="C17" s="292">
        <f>'2. SOFP'!E16</f>
        <v>20000</v>
      </c>
      <c r="D17" s="292"/>
      <c r="E17" s="292">
        <f>C17-D17</f>
        <v>20000</v>
      </c>
    </row>
    <row r="18" spans="1:6" x14ac:dyDescent="0.25">
      <c r="A18" s="182">
        <v>5.2</v>
      </c>
      <c r="B18" s="155" t="s">
        <v>108</v>
      </c>
      <c r="C18" s="292">
        <f>'2. SOFP'!E17</f>
        <v>0</v>
      </c>
      <c r="D18" s="292"/>
      <c r="E18" s="292">
        <f>C18-D18</f>
        <v>0</v>
      </c>
    </row>
    <row r="19" spans="1:6" x14ac:dyDescent="0.25">
      <c r="A19" s="182">
        <v>5.3</v>
      </c>
      <c r="B19" s="155" t="s">
        <v>109</v>
      </c>
      <c r="C19" s="292">
        <f>'2. SOFP'!E18</f>
        <v>0</v>
      </c>
      <c r="D19" s="292"/>
      <c r="E19" s="292">
        <f>C19-D19</f>
        <v>0</v>
      </c>
    </row>
    <row r="20" spans="1:6" ht="21" x14ac:dyDescent="0.25">
      <c r="A20" s="182">
        <v>6</v>
      </c>
      <c r="B20" s="151" t="s">
        <v>110</v>
      </c>
      <c r="C20" s="292">
        <f>SUM(C21:C22)</f>
        <v>82286409.211369246</v>
      </c>
      <c r="D20" s="292">
        <f>SUM(D21:D22)</f>
        <v>0</v>
      </c>
      <c r="E20" s="292">
        <f>SUM(E21:E22)</f>
        <v>82286409.211369246</v>
      </c>
      <c r="F20" s="293"/>
    </row>
    <row r="21" spans="1:6" x14ac:dyDescent="0.25">
      <c r="A21" s="182">
        <v>6.1</v>
      </c>
      <c r="B21" s="155" t="s">
        <v>108</v>
      </c>
      <c r="C21" s="294">
        <f>'2. SOFP'!E20</f>
        <v>27213770.959984913</v>
      </c>
      <c r="D21" s="294"/>
      <c r="E21" s="294">
        <f>C21-D21</f>
        <v>27213770.959984913</v>
      </c>
    </row>
    <row r="22" spans="1:6" x14ac:dyDescent="0.25">
      <c r="A22" s="182">
        <v>6.2</v>
      </c>
      <c r="B22" s="295" t="s">
        <v>109</v>
      </c>
      <c r="C22" s="294">
        <f>'2. SOFP'!E21</f>
        <v>55072638.251384333</v>
      </c>
      <c r="D22" s="294"/>
      <c r="E22" s="294">
        <f>C22-D22</f>
        <v>55072638.251384333</v>
      </c>
    </row>
    <row r="23" spans="1:6" ht="21" x14ac:dyDescent="0.25">
      <c r="A23" s="182">
        <v>7</v>
      </c>
      <c r="B23" s="166" t="s">
        <v>111</v>
      </c>
      <c r="C23" s="294">
        <f>'2. SOFP'!E22</f>
        <v>0</v>
      </c>
      <c r="D23" s="294"/>
      <c r="E23" s="294">
        <f>C23-D23</f>
        <v>0</v>
      </c>
    </row>
    <row r="24" spans="1:6" ht="21" x14ac:dyDescent="0.25">
      <c r="A24" s="182">
        <v>8</v>
      </c>
      <c r="B24" s="157" t="s">
        <v>112</v>
      </c>
      <c r="C24" s="294">
        <f>'2. SOFP'!E23</f>
        <v>3651626.4593548691</v>
      </c>
      <c r="D24" s="294"/>
      <c r="E24" s="294">
        <f>C24-D24</f>
        <v>3651626.4593548691</v>
      </c>
      <c r="F24" s="293"/>
    </row>
    <row r="25" spans="1:6" x14ac:dyDescent="0.25">
      <c r="A25" s="182">
        <v>9</v>
      </c>
      <c r="B25" s="152" t="s">
        <v>113</v>
      </c>
      <c r="C25" s="294">
        <f>SUM(C26:C27)</f>
        <v>20643828.830000006</v>
      </c>
      <c r="D25" s="294">
        <f>SUM(D26:D27)</f>
        <v>0</v>
      </c>
      <c r="E25" s="294">
        <f>SUM(E26:E27)</f>
        <v>20643828.830000006</v>
      </c>
      <c r="F25" s="293"/>
    </row>
    <row r="26" spans="1:6" x14ac:dyDescent="0.25">
      <c r="A26" s="182">
        <v>9.1</v>
      </c>
      <c r="B26" s="158" t="s">
        <v>114</v>
      </c>
      <c r="C26" s="294">
        <f>'2. SOFP'!E25</f>
        <v>20643828.830000006</v>
      </c>
      <c r="D26" s="294"/>
      <c r="E26" s="294">
        <f>C26-D26</f>
        <v>20643828.830000006</v>
      </c>
    </row>
    <row r="27" spans="1:6" x14ac:dyDescent="0.25">
      <c r="A27" s="182">
        <v>9.1999999999999993</v>
      </c>
      <c r="B27" s="158" t="s">
        <v>115</v>
      </c>
      <c r="C27" s="294">
        <f>'2. SOFP'!E26</f>
        <v>0</v>
      </c>
      <c r="D27" s="294"/>
      <c r="E27" s="294">
        <f>C27-D27</f>
        <v>0</v>
      </c>
    </row>
    <row r="28" spans="1:6" x14ac:dyDescent="0.25">
      <c r="A28" s="182">
        <v>10</v>
      </c>
      <c r="B28" s="152" t="s">
        <v>116</v>
      </c>
      <c r="C28" s="294">
        <f>SUM(C29:C30)</f>
        <v>1120485.0400000012</v>
      </c>
      <c r="D28" s="294">
        <f>SUM(D29:D30)</f>
        <v>1120485.0400000012</v>
      </c>
      <c r="E28" s="294">
        <f>SUM(E29:E30)</f>
        <v>0</v>
      </c>
      <c r="F28" s="293"/>
    </row>
    <row r="29" spans="1:6" x14ac:dyDescent="0.25">
      <c r="A29" s="182">
        <v>10.1</v>
      </c>
      <c r="B29" s="158" t="s">
        <v>117</v>
      </c>
      <c r="C29" s="294">
        <f>'2. SOFP'!E28</f>
        <v>0</v>
      </c>
      <c r="D29" s="294"/>
      <c r="E29" s="294">
        <f>C29-D29</f>
        <v>0</v>
      </c>
    </row>
    <row r="30" spans="1:6" x14ac:dyDescent="0.25">
      <c r="A30" s="182">
        <v>10.199999999999999</v>
      </c>
      <c r="B30" s="158" t="s">
        <v>118</v>
      </c>
      <c r="C30" s="294">
        <f>'2. SOFP'!E29</f>
        <v>1120485.0400000012</v>
      </c>
      <c r="D30" s="294">
        <f>C30</f>
        <v>1120485.0400000012</v>
      </c>
      <c r="E30" s="294">
        <f>C30-D30</f>
        <v>0</v>
      </c>
    </row>
    <row r="31" spans="1:6" x14ac:dyDescent="0.25">
      <c r="A31" s="182">
        <v>11</v>
      </c>
      <c r="B31" s="152" t="s">
        <v>119</v>
      </c>
      <c r="C31" s="294">
        <f>SUM(C32:C33)</f>
        <v>45248.5</v>
      </c>
      <c r="D31" s="294">
        <f>SUM(D32:D33)</f>
        <v>0</v>
      </c>
      <c r="E31" s="294">
        <f>SUM(E32:E33)</f>
        <v>45248.5</v>
      </c>
      <c r="F31" s="293"/>
    </row>
    <row r="32" spans="1:6" x14ac:dyDescent="0.25">
      <c r="A32" s="182">
        <v>11.1</v>
      </c>
      <c r="B32" s="158" t="s">
        <v>120</v>
      </c>
      <c r="C32" s="294">
        <f>'2. SOFP'!E31</f>
        <v>45248.5</v>
      </c>
      <c r="D32" s="294"/>
      <c r="E32" s="294">
        <f>C32-D32</f>
        <v>45248.5</v>
      </c>
    </row>
    <row r="33" spans="1:7" x14ac:dyDescent="0.25">
      <c r="A33" s="182">
        <v>11.2</v>
      </c>
      <c r="B33" s="158" t="s">
        <v>121</v>
      </c>
      <c r="C33" s="294">
        <f>'2. SOFP'!E32</f>
        <v>0</v>
      </c>
      <c r="D33" s="294"/>
      <c r="E33" s="294">
        <f>C33-D33</f>
        <v>0</v>
      </c>
    </row>
    <row r="34" spans="1:7" x14ac:dyDescent="0.25">
      <c r="A34" s="182">
        <v>13</v>
      </c>
      <c r="B34" s="152" t="s">
        <v>122</v>
      </c>
      <c r="C34" s="294">
        <f>'2. SOFP'!E33</f>
        <v>5033574.8099999996</v>
      </c>
      <c r="D34" s="294"/>
      <c r="E34" s="294">
        <f>C34-D34</f>
        <v>5033574.8099999996</v>
      </c>
      <c r="F34" s="293"/>
    </row>
    <row r="35" spans="1:7" x14ac:dyDescent="0.25">
      <c r="A35" s="182">
        <v>13.1</v>
      </c>
      <c r="B35" s="159" t="s">
        <v>123</v>
      </c>
      <c r="C35" s="294">
        <f>'2. SOFP'!E34</f>
        <v>0</v>
      </c>
      <c r="D35" s="294"/>
      <c r="E35" s="294">
        <f>C35-D35</f>
        <v>0</v>
      </c>
    </row>
    <row r="36" spans="1:7" x14ac:dyDescent="0.25">
      <c r="A36" s="182">
        <v>13.2</v>
      </c>
      <c r="B36" s="159" t="s">
        <v>124</v>
      </c>
      <c r="C36" s="294">
        <f>'2. SOFP'!E35</f>
        <v>0</v>
      </c>
      <c r="D36" s="294"/>
      <c r="E36" s="294">
        <f>C36-D36</f>
        <v>0</v>
      </c>
    </row>
    <row r="37" spans="1:7" ht="39" thickBot="1" x14ac:dyDescent="0.3">
      <c r="A37" s="296"/>
      <c r="B37" s="297" t="s">
        <v>296</v>
      </c>
      <c r="C37" s="298">
        <f>SUM(C8,C12,C14,C15,C16,C20,C23,C24,C25,C28,C31,C34)</f>
        <v>167069259.30427885</v>
      </c>
      <c r="D37" s="298">
        <f>SUM(D8,D12,D14,D15,D16,D20,D23,D24,D25,D28,D31,D34)</f>
        <v>1120485.0400000012</v>
      </c>
      <c r="E37" s="298">
        <f>SUM(E8,E12,E14,E15,E16,E20,E23,E24,E25,E28,E31,E34)</f>
        <v>165948774.26427886</v>
      </c>
    </row>
    <row r="38" spans="1:7" s="22" customFormat="1" x14ac:dyDescent="0.25">
      <c r="B38" s="300"/>
      <c r="F38" s="274"/>
      <c r="G38"/>
    </row>
    <row r="39" spans="1:7" s="22" customFormat="1" x14ac:dyDescent="0.25">
      <c r="B39" s="299"/>
      <c r="F39" s="274"/>
      <c r="G39"/>
    </row>
    <row r="40" spans="1:7" s="22" customFormat="1" x14ac:dyDescent="0.25">
      <c r="B40" s="299"/>
      <c r="F40" s="274"/>
      <c r="G40"/>
    </row>
    <row r="41" spans="1:7" s="22" customFormat="1" x14ac:dyDescent="0.25">
      <c r="B41" s="299"/>
      <c r="F41" s="274"/>
      <c r="G41"/>
    </row>
    <row r="42" spans="1:7" s="22" customFormat="1" x14ac:dyDescent="0.25">
      <c r="B42" s="299"/>
      <c r="F42" s="274"/>
      <c r="G42"/>
    </row>
    <row r="43" spans="1:7" s="22" customFormat="1" x14ac:dyDescent="0.25">
      <c r="B43" s="299"/>
      <c r="F43" s="274"/>
      <c r="G43"/>
    </row>
    <row r="44" spans="1:7" s="22" customFormat="1" x14ac:dyDescent="0.25">
      <c r="B44" s="300"/>
      <c r="F44" s="274"/>
      <c r="G44"/>
    </row>
    <row r="45" spans="1:7" s="22" customFormat="1" x14ac:dyDescent="0.25">
      <c r="B45" s="300"/>
      <c r="F45" s="274"/>
      <c r="G45"/>
    </row>
    <row r="46" spans="1:7" s="22" customFormat="1" x14ac:dyDescent="0.25">
      <c r="B46" s="300"/>
      <c r="F46" s="274"/>
      <c r="G46"/>
    </row>
    <row r="47" spans="1:7" s="22" customFormat="1" x14ac:dyDescent="0.25">
      <c r="B47" s="300"/>
      <c r="F47" s="274"/>
      <c r="G47"/>
    </row>
    <row r="48" spans="1:7" s="22" customFormat="1" x14ac:dyDescent="0.25">
      <c r="B48" s="300"/>
      <c r="F48" s="274"/>
      <c r="G48"/>
    </row>
    <row r="49" spans="2:7" s="22" customFormat="1" x14ac:dyDescent="0.25">
      <c r="B49" s="300"/>
      <c r="F49" s="274"/>
      <c r="G49"/>
    </row>
  </sheetData>
  <mergeCells count="3">
    <mergeCell ref="B6:B7"/>
    <mergeCell ref="C6:C7"/>
    <mergeCell ref="D6:E6"/>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FEF43-96B6-4D64-AD21-D565E35ADFCF}">
  <dimension ref="A1:F33"/>
  <sheetViews>
    <sheetView zoomScaleNormal="100" workbookViewId="0">
      <pane xSplit="1" ySplit="4" topLeftCell="B5" activePane="bottomRight" state="frozen"/>
      <selection activeCell="J35" sqref="J35"/>
      <selection pane="topRight" activeCell="J35" sqref="J35"/>
      <selection pane="bottomLeft" activeCell="J35" sqref="J35"/>
      <selection pane="bottomRight" activeCell="C5" sqref="C5:C13"/>
    </sheetView>
  </sheetViews>
  <sheetFormatPr defaultRowHeight="15" outlineLevelRow="1" x14ac:dyDescent="0.25"/>
  <cols>
    <col min="1" max="1" width="9.5703125" style="22" bestFit="1" customWidth="1"/>
    <col min="2" max="2" width="114.28515625" style="22" customWidth="1"/>
    <col min="3" max="3" width="18.85546875" customWidth="1"/>
    <col min="4" max="4" width="62.140625" customWidth="1"/>
    <col min="5" max="5" width="12" bestFit="1" customWidth="1"/>
    <col min="6" max="6" width="12.5703125" bestFit="1" customWidth="1"/>
  </cols>
  <sheetData>
    <row r="1" spans="1:3" ht="15.75" x14ac:dyDescent="0.3">
      <c r="A1" s="23" t="s">
        <v>41</v>
      </c>
      <c r="B1" s="25" t="str">
        <f>Info!C2</f>
        <v>სს სილქ ბანკი</v>
      </c>
    </row>
    <row r="2" spans="1:3" s="23" customFormat="1" ht="15.75" customHeight="1" x14ac:dyDescent="0.3">
      <c r="A2" s="23" t="s">
        <v>42</v>
      </c>
      <c r="B2" s="26">
        <f>'1. key ratios'!B2</f>
        <v>45291</v>
      </c>
      <c r="C2"/>
    </row>
    <row r="3" spans="1:3" s="23" customFormat="1" ht="15.75" customHeight="1" x14ac:dyDescent="0.3">
      <c r="C3"/>
    </row>
    <row r="4" spans="1:3" s="23" customFormat="1" ht="40.5" customHeight="1" thickBot="1" x14ac:dyDescent="0.35">
      <c r="A4" s="23" t="s">
        <v>297</v>
      </c>
      <c r="B4" s="301" t="s">
        <v>19</v>
      </c>
      <c r="C4" s="279" t="s">
        <v>238</v>
      </c>
    </row>
    <row r="5" spans="1:3" x14ac:dyDescent="0.25">
      <c r="A5" s="302">
        <v>1</v>
      </c>
      <c r="B5" s="303" t="s">
        <v>298</v>
      </c>
      <c r="C5" s="304">
        <f>'7. LI1'!E37</f>
        <v>165948774.26427886</v>
      </c>
    </row>
    <row r="6" spans="1:3" x14ac:dyDescent="0.25">
      <c r="A6" s="306">
        <v>2.1</v>
      </c>
      <c r="B6" s="307" t="s">
        <v>299</v>
      </c>
      <c r="C6" s="308">
        <v>7700732.7199169556</v>
      </c>
    </row>
    <row r="7" spans="1:3" s="261" customFormat="1" ht="25.5" outlineLevel="1" x14ac:dyDescent="0.25">
      <c r="A7" s="309">
        <v>2.2000000000000002</v>
      </c>
      <c r="B7" s="310" t="s">
        <v>300</v>
      </c>
      <c r="C7" s="311">
        <f>'4. Off-balance'!E32+'4. Off-balance'!E31</f>
        <v>13147900</v>
      </c>
    </row>
    <row r="8" spans="1:3" s="261" customFormat="1" ht="26.25" x14ac:dyDescent="0.25">
      <c r="A8" s="309">
        <v>3</v>
      </c>
      <c r="B8" s="312" t="s">
        <v>301</v>
      </c>
      <c r="C8" s="313">
        <f>SUM(C5:C7)</f>
        <v>186797406.98419583</v>
      </c>
    </row>
    <row r="9" spans="1:3" x14ac:dyDescent="0.25">
      <c r="A9" s="306">
        <v>4</v>
      </c>
      <c r="B9" s="314" t="s">
        <v>302</v>
      </c>
      <c r="C9" s="308">
        <v>0</v>
      </c>
    </row>
    <row r="10" spans="1:3" s="261" customFormat="1" ht="25.5" outlineLevel="1" x14ac:dyDescent="0.25">
      <c r="A10" s="309">
        <v>5.0999999999999996</v>
      </c>
      <c r="B10" s="310" t="s">
        <v>303</v>
      </c>
      <c r="C10" s="311">
        <f>-C6+'5. RWA'!C9</f>
        <v>-3421068.9602140272</v>
      </c>
    </row>
    <row r="11" spans="1:3" s="261" customFormat="1" ht="25.5" outlineLevel="1" x14ac:dyDescent="0.25">
      <c r="A11" s="309">
        <v>5.2</v>
      </c>
      <c r="B11" s="310" t="s">
        <v>304</v>
      </c>
      <c r="C11" s="311">
        <f>-C7+'5. RWA'!C10</f>
        <v>-12884942</v>
      </c>
    </row>
    <row r="12" spans="1:3" s="261" customFormat="1" x14ac:dyDescent="0.25">
      <c r="A12" s="309">
        <v>6</v>
      </c>
      <c r="B12" s="315" t="s">
        <v>305</v>
      </c>
      <c r="C12" s="311"/>
    </row>
    <row r="13" spans="1:3" s="261" customFormat="1" ht="15.75" thickBot="1" x14ac:dyDescent="0.3">
      <c r="A13" s="316">
        <v>7</v>
      </c>
      <c r="B13" s="317" t="s">
        <v>306</v>
      </c>
      <c r="C13" s="318">
        <f>SUM(C8:C12)</f>
        <v>170491396.02398181</v>
      </c>
    </row>
    <row r="15" spans="1:3" ht="26.25" x14ac:dyDescent="0.25">
      <c r="B15" s="128" t="s">
        <v>307</v>
      </c>
      <c r="C15" s="319"/>
    </row>
    <row r="17" spans="2:6" s="22" customFormat="1" x14ac:dyDescent="0.25">
      <c r="B17" s="320"/>
      <c r="C17"/>
      <c r="D17"/>
      <c r="E17"/>
      <c r="F17"/>
    </row>
    <row r="18" spans="2:6" s="22" customFormat="1" x14ac:dyDescent="0.25">
      <c r="B18" s="321"/>
      <c r="C18"/>
      <c r="D18"/>
      <c r="E18"/>
      <c r="F18"/>
    </row>
    <row r="19" spans="2:6" s="22" customFormat="1" x14ac:dyDescent="0.25">
      <c r="B19" s="321"/>
      <c r="C19"/>
      <c r="D19"/>
      <c r="E19"/>
      <c r="F19"/>
    </row>
    <row r="20" spans="2:6" s="22" customFormat="1" x14ac:dyDescent="0.25">
      <c r="B20" s="300"/>
      <c r="C20"/>
      <c r="D20"/>
      <c r="E20"/>
      <c r="F20"/>
    </row>
    <row r="21" spans="2:6" s="22" customFormat="1" x14ac:dyDescent="0.25">
      <c r="B21" s="299"/>
      <c r="C21"/>
      <c r="D21"/>
      <c r="E21"/>
      <c r="F21"/>
    </row>
    <row r="22" spans="2:6" s="22" customFormat="1" x14ac:dyDescent="0.25">
      <c r="B22" s="242"/>
      <c r="C22"/>
      <c r="D22"/>
      <c r="E22"/>
      <c r="F22"/>
    </row>
    <row r="23" spans="2:6" s="22" customFormat="1" x14ac:dyDescent="0.25">
      <c r="B23" s="299"/>
      <c r="C23"/>
      <c r="D23"/>
      <c r="E23"/>
      <c r="F23"/>
    </row>
    <row r="24" spans="2:6" s="22" customFormat="1" x14ac:dyDescent="0.25">
      <c r="B24" s="299"/>
      <c r="C24"/>
      <c r="D24"/>
      <c r="E24"/>
      <c r="F24"/>
    </row>
    <row r="25" spans="2:6" s="22" customFormat="1" x14ac:dyDescent="0.25">
      <c r="B25" s="299"/>
      <c r="C25"/>
      <c r="D25"/>
      <c r="E25"/>
      <c r="F25"/>
    </row>
    <row r="26" spans="2:6" s="22" customFormat="1" x14ac:dyDescent="0.25">
      <c r="B26" s="299"/>
      <c r="C26"/>
      <c r="D26"/>
      <c r="E26"/>
      <c r="F26"/>
    </row>
    <row r="27" spans="2:6" s="22" customFormat="1" x14ac:dyDescent="0.25">
      <c r="B27" s="299"/>
      <c r="C27"/>
      <c r="D27"/>
      <c r="E27"/>
      <c r="F27"/>
    </row>
    <row r="28" spans="2:6" s="22" customFormat="1" x14ac:dyDescent="0.25">
      <c r="B28" s="300"/>
      <c r="C28"/>
      <c r="D28"/>
      <c r="E28"/>
      <c r="F28"/>
    </row>
    <row r="29" spans="2:6" s="22" customFormat="1" x14ac:dyDescent="0.25">
      <c r="B29" s="300"/>
      <c r="C29"/>
      <c r="D29"/>
      <c r="E29"/>
      <c r="F29"/>
    </row>
    <row r="30" spans="2:6" s="22" customFormat="1" x14ac:dyDescent="0.25">
      <c r="B30" s="300"/>
      <c r="C30"/>
      <c r="D30"/>
      <c r="E30"/>
      <c r="F30"/>
    </row>
    <row r="31" spans="2:6" s="22" customFormat="1" x14ac:dyDescent="0.25">
      <c r="B31" s="300"/>
      <c r="C31"/>
      <c r="D31"/>
      <c r="E31"/>
      <c r="F31"/>
    </row>
    <row r="32" spans="2:6" s="22" customFormat="1" x14ac:dyDescent="0.25">
      <c r="B32" s="300"/>
      <c r="C32"/>
      <c r="D32"/>
      <c r="E32"/>
      <c r="F32"/>
    </row>
    <row r="33" spans="2:6" s="22" customFormat="1" x14ac:dyDescent="0.25">
      <c r="B33" s="300"/>
      <c r="C33"/>
      <c r="D33"/>
      <c r="E33"/>
      <c r="F33"/>
    </row>
  </sheetData>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Info</vt:lpstr>
      <vt:lpstr>1. key ratios</vt:lpstr>
      <vt:lpstr>2. SOFP</vt:lpstr>
      <vt:lpstr>3. SOPL</vt:lpstr>
      <vt:lpstr>4. Off-balance</vt:lpstr>
      <vt:lpstr>5. RWA</vt:lpstr>
      <vt:lpstr>6. Administrators-shareholders</vt:lpstr>
      <vt:lpstr>7. LI1</vt:lpstr>
      <vt:lpstr>8. LI2</vt:lpstr>
      <vt:lpstr>9. Capital</vt:lpstr>
      <vt:lpstr>9.1. Capital Requirements</vt:lpstr>
      <vt:lpstr>10. CC2</vt:lpstr>
      <vt:lpstr>11. CRWA</vt:lpstr>
      <vt:lpstr>12. CRM</vt:lpstr>
      <vt:lpstr>13. CRME</vt:lpstr>
      <vt:lpstr>14. LCR</vt:lpstr>
      <vt:lpstr>15. CCR</vt:lpstr>
      <vt:lpstr>15.1. LR</vt:lpstr>
      <vt:lpstr>16. NSFR</vt:lpstr>
      <vt:lpstr> 17. Residual Maturity</vt:lpstr>
      <vt:lpstr>18. Assets by Exposure classes</vt:lpstr>
      <vt:lpstr>19. Assets by Risk Sectors</vt:lpstr>
      <vt:lpstr>20. Reserves</vt:lpstr>
      <vt:lpstr>21. NPL</vt:lpstr>
      <vt:lpstr>22. Quality</vt:lpstr>
      <vt:lpstr>23. LTV</vt:lpstr>
      <vt:lpstr>24. Risk Sector</vt:lpstr>
      <vt:lpstr>25. Collateral</vt:lpstr>
      <vt:lpstr>26. Retail Products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 Potskhverashvili</dc:creator>
  <cp:lastModifiedBy>Irma Potskhverashvili</cp:lastModifiedBy>
  <dcterms:created xsi:type="dcterms:W3CDTF">2024-01-30T13:32:45Z</dcterms:created>
  <dcterms:modified xsi:type="dcterms:W3CDTF">2024-01-30T14:39:51Z</dcterms:modified>
</cp:coreProperties>
</file>