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i.potskhverashvili\Desktop\pilar 3 (new forms)\I q. 2023\Ready for sent\"/>
    </mc:Choice>
  </mc:AlternateContent>
  <xr:revisionPtr revIDLastSave="0" documentId="13_ncr:1_{2F145D3E-D646-4DF3-B293-CBB7657202A6}" xr6:coauthVersionLast="47" xr6:coauthVersionMax="47" xr10:uidLastSave="{00000000-0000-0000-0000-000000000000}"/>
  <bookViews>
    <workbookView xWindow="-108" yWindow="-108" windowWidth="23256" windowHeight="12576" tabRatio="1000" activeTab="4" xr2:uid="{6C7A3C2A-8A21-43E7-8A5D-CA4F5274B0D6}"/>
  </bookViews>
  <sheets>
    <sheet name="Info" sheetId="32" r:id="rId1"/>
    <sheet name="1. key ratios" sheetId="1" r:id="rId2"/>
    <sheet name="2. SOFP" sheetId="2" r:id="rId3"/>
    <sheet name="3. SOPL" sheetId="3" r:id="rId4"/>
    <sheet name="4. Off-balance" sheetId="8" r:id="rId5"/>
    <sheet name="5. RWA" sheetId="9" r:id="rId6"/>
    <sheet name="6. Administrators-shareholders" sheetId="4" r:id="rId7"/>
    <sheet name="7. LI1" sheetId="10" r:id="rId8"/>
    <sheet name="8. LI2" sheetId="11" r:id="rId9"/>
    <sheet name="9. Capital" sheetId="6" r:id="rId10"/>
    <sheet name="9.1. Capital Requirements" sheetId="12" r:id="rId11"/>
    <sheet name="10. CC2" sheetId="13" r:id="rId12"/>
    <sheet name="11. CRWA" sheetId="14" r:id="rId13"/>
    <sheet name="12. CRM" sheetId="15" r:id="rId14"/>
    <sheet name="13. CRME" sheetId="16" r:id="rId15"/>
    <sheet name="14. LCR" sheetId="17" r:id="rId16"/>
    <sheet name="15. CCR" sheetId="18" r:id="rId17"/>
    <sheet name="15.1. LR" sheetId="19" r:id="rId18"/>
    <sheet name="16. NSFR" sheetId="20" r:id="rId19"/>
    <sheet name=" 17. Residual Maturity" sheetId="21" r:id="rId20"/>
    <sheet name="18. Assets by Exposure classes" sheetId="22" r:id="rId21"/>
    <sheet name="19. Assets by Risk Sectors" sheetId="23" r:id="rId22"/>
    <sheet name="20. Reserves" sheetId="24" r:id="rId23"/>
    <sheet name="21. NPL" sheetId="25" r:id="rId24"/>
    <sheet name="22. Quality" sheetId="26" r:id="rId25"/>
    <sheet name="23. LTV" sheetId="27" r:id="rId26"/>
    <sheet name="24. Risk Sector" sheetId="28" r:id="rId27"/>
    <sheet name="25. Collateral" sheetId="29" r:id="rId28"/>
    <sheet name="26. Retail Products" sheetId="30" r:id="rId29"/>
    <sheet name="Instruction" sheetId="31" r:id="rId30"/>
  </sheets>
  <externalReferences>
    <externalReference r:id="rId31"/>
    <externalReference r:id="rId32"/>
    <externalReference r:id="rId33"/>
    <externalReference r:id="rId34"/>
  </externalReferences>
  <definedNames>
    <definedName name="_cur1" localSheetId="0">'[1]Appl (2)'!$F$2:$F$7200</definedName>
    <definedName name="_cur1">#REF!</definedName>
    <definedName name="_cur2" localSheetId="0">'[1]Appl (2)'!$H$2:$H$7200</definedName>
    <definedName name="_cur2">#REF!</definedName>
    <definedName name="_xlnm._FilterDatabase" localSheetId="9" hidden="1">'9. Capital'!$A$5:$E$53</definedName>
    <definedName name="_xlnm._FilterDatabase" localSheetId="29" hidden="1">Instruction!$A$106:$C$110</definedName>
    <definedName name="_Key1" hidden="1">#REF!</definedName>
    <definedName name="_Order1" hidden="1">255</definedName>
    <definedName name="_Order2" hidden="1">255</definedName>
    <definedName name="_Parse_In" hidden="1">#REF!</definedName>
    <definedName name="_Sort" hidden="1">#REF!</definedName>
    <definedName name="_sum1" localSheetId="0">'[1]Appl (2)'!$E$2:$E$7200</definedName>
    <definedName name="_sum1">#REF!</definedName>
    <definedName name="_sum2" localSheetId="0">'[1]Appl (2)'!$G$2:$G$7200</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 localSheetId="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 localSheetId="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 localSheetId="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 localSheetId="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 localSheetId="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 localSheetId="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 localSheetId="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 localSheetId="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 localSheetId="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 localSheetId="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 localSheetId="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 localSheetId="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 localSheetId="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 localSheetId="0">#REF!</definedName>
    <definedName name="CurrentDate">#REF!</definedName>
    <definedName name="date" localSheetId="0">'[1]Appl (2)'!$B$2:$B$7200</definedName>
    <definedName name="date">#REF!</definedName>
    <definedName name="date1" localSheetId="0">'[1]Appl (2)'!$C$2:$C$7200</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jgjhg" hidden="1">#REF!</definedName>
    <definedName name="jgjhg1" hidden="1">#REF!</definedName>
    <definedName name="L_FORMULAS_GEO" localSheetId="0">[3]ListSheet!$W$2:$W$15</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dsss" hidden="1">#REF!</definedName>
    <definedName name="Sheet" localSheetId="0">[4]Sheet2!$H$5:$H$31</definedName>
    <definedName name="Sheet">#REF!</definedName>
    <definedName name="ss" hidden="1">#REF!</definedName>
    <definedName name="sub">#REF!</definedName>
    <definedName name="TextRefCopyRangeCount" hidden="1">3</definedName>
    <definedName name="wrn.Aging._.and._.Trend._.Analysis." hidden="1">{#N/A,#N/A,FALSE,"Aging Summary";#N/A,#N/A,FALSE,"Ratio Analysis";#N/A,#N/A,FALSE,"Test 120 Day Accts";#N/A,#N/A,FALSE,"Tickmarks"}</definedName>
    <definedName name="YesNo">#REF!</definedName>
    <definedName name="აა" hidden="1">#REF!</definedName>
    <definedName name="ს" hidden="1">#REF!</definedName>
    <definedName name="საკრედიტო" localSheetId="0">[4]Sheet2!$B$6:$B$8</definedName>
    <definedName name="საკრედიტო">#REF!</definedName>
    <definedName name="სსს" hidden="1">#REF!</definedName>
    <definedName name="ფაილი" localSheetId="0">[4]Sheet2!$B$2:$B$3</definedName>
    <definedName name="ფაილი">#REF!</definedName>
    <definedName name="ცვლილება_კორექტირება_რეგულაციაში" localSheetId="0">[4]Sheet2!$K$5:$K$9</definedName>
    <definedName name="ცვლილება_კორექტირება_რეგულაციაშ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6" l="1"/>
  <c r="C22" i="26"/>
  <c r="D15" i="26"/>
  <c r="C15" i="26"/>
  <c r="R23" i="30"/>
  <c r="Q23" i="30"/>
  <c r="P23" i="30"/>
  <c r="O23" i="30"/>
  <c r="N23" i="30"/>
  <c r="M23" i="30"/>
  <c r="L23" i="30"/>
  <c r="K23" i="30"/>
  <c r="B2" i="30"/>
  <c r="B2" i="29"/>
  <c r="L33" i="28"/>
  <c r="G33" i="28"/>
  <c r="K33" i="28"/>
  <c r="J33" i="28"/>
  <c r="I33" i="28"/>
  <c r="H33" i="28"/>
  <c r="F33" i="28"/>
  <c r="E33" i="28"/>
  <c r="D33" i="28"/>
  <c r="C33" i="28"/>
  <c r="B2" i="28"/>
  <c r="C20" i="27"/>
  <c r="C19" i="27"/>
  <c r="C16" i="27" s="1"/>
  <c r="C18" i="27"/>
  <c r="R16" i="27"/>
  <c r="Q16" i="27"/>
  <c r="N16" i="27"/>
  <c r="M16" i="27"/>
  <c r="J16" i="27"/>
  <c r="I16" i="27"/>
  <c r="F16" i="27"/>
  <c r="E16" i="27"/>
  <c r="C17" i="27"/>
  <c r="S16" i="27"/>
  <c r="P16" i="27"/>
  <c r="O16" i="27"/>
  <c r="L16" i="27"/>
  <c r="K16" i="27"/>
  <c r="H16" i="27"/>
  <c r="G16" i="27"/>
  <c r="D16" i="27"/>
  <c r="G6" i="29"/>
  <c r="B2" i="27"/>
  <c r="C17" i="26"/>
  <c r="C14" i="26"/>
  <c r="Q8" i="26"/>
  <c r="L8" i="26"/>
  <c r="H8" i="26"/>
  <c r="C12" i="26"/>
  <c r="C11" i="26"/>
  <c r="C10" i="26"/>
  <c r="C9" i="26"/>
  <c r="AA8" i="26"/>
  <c r="Z8" i="26"/>
  <c r="Y8" i="26"/>
  <c r="X8" i="26"/>
  <c r="W8" i="26"/>
  <c r="V8" i="26"/>
  <c r="U8" i="26"/>
  <c r="T8" i="26"/>
  <c r="S8" i="26"/>
  <c r="S8" i="27" s="1"/>
  <c r="R8" i="26"/>
  <c r="R8" i="27" s="1"/>
  <c r="P8" i="26"/>
  <c r="P8" i="27" s="1"/>
  <c r="O8" i="26"/>
  <c r="O8" i="27" s="1"/>
  <c r="N8" i="26"/>
  <c r="N8" i="27" s="1"/>
  <c r="K8" i="26"/>
  <c r="K8" i="27" s="1"/>
  <c r="J8" i="26"/>
  <c r="J8" i="27" s="1"/>
  <c r="G8" i="26"/>
  <c r="G8" i="27" s="1"/>
  <c r="F8" i="26"/>
  <c r="F8" i="27" s="1"/>
  <c r="B2" i="26"/>
  <c r="C12" i="25"/>
  <c r="C10" i="25"/>
  <c r="B2" i="25"/>
  <c r="D10" i="24"/>
  <c r="C10" i="24"/>
  <c r="C7" i="24"/>
  <c r="C15" i="24" s="1"/>
  <c r="D7" i="24"/>
  <c r="D15" i="24"/>
  <c r="B2" i="24"/>
  <c r="G34" i="23"/>
  <c r="F34"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B2" i="23"/>
  <c r="H23" i="22"/>
  <c r="F22" i="22"/>
  <c r="F21" i="22"/>
  <c r="E20" i="22"/>
  <c r="H20" i="22" s="1"/>
  <c r="D33" i="23"/>
  <c r="D34" i="23" s="1"/>
  <c r="C33" i="23"/>
  <c r="C34" i="23" s="1"/>
  <c r="H19" i="22"/>
  <c r="H18" i="22"/>
  <c r="H17" i="22"/>
  <c r="H15" i="22"/>
  <c r="G14" i="22"/>
  <c r="G21" i="22" s="1"/>
  <c r="H14" i="22"/>
  <c r="D22" i="22"/>
  <c r="H12" i="22"/>
  <c r="H11" i="22"/>
  <c r="H10" i="22"/>
  <c r="H9" i="22"/>
  <c r="H8" i="22"/>
  <c r="H7" i="22"/>
  <c r="B2" i="22"/>
  <c r="H20" i="21"/>
  <c r="H19" i="21"/>
  <c r="H17" i="21"/>
  <c r="H16" i="21"/>
  <c r="H15" i="21"/>
  <c r="F22" i="21"/>
  <c r="H13" i="21"/>
  <c r="H12" i="21"/>
  <c r="H11" i="21"/>
  <c r="H10" i="21"/>
  <c r="H9" i="21"/>
  <c r="H8" i="21"/>
  <c r="B2" i="21"/>
  <c r="G36" i="20"/>
  <c r="G34" i="20"/>
  <c r="E33" i="20"/>
  <c r="D33" i="20"/>
  <c r="E24" i="20"/>
  <c r="G26" i="20"/>
  <c r="D24" i="20"/>
  <c r="C24" i="20"/>
  <c r="G19" i="20"/>
  <c r="F18" i="20"/>
  <c r="E18" i="20"/>
  <c r="D18" i="20"/>
  <c r="C14" i="20"/>
  <c r="F14" i="20"/>
  <c r="E14" i="20"/>
  <c r="L13" i="20"/>
  <c r="G13" i="20"/>
  <c r="F11" i="20"/>
  <c r="D11" i="20"/>
  <c r="C11" i="20"/>
  <c r="G10" i="20"/>
  <c r="C8" i="20"/>
  <c r="E8" i="20"/>
  <c r="D8" i="20"/>
  <c r="B2" i="20"/>
  <c r="C26" i="19"/>
  <c r="C8" i="19"/>
  <c r="B2" i="19"/>
  <c r="M21" i="18"/>
  <c r="J21" i="18"/>
  <c r="I21" i="18"/>
  <c r="H21" i="18"/>
  <c r="N20" i="18"/>
  <c r="N19" i="18"/>
  <c r="E19" i="18"/>
  <c r="N18" i="18"/>
  <c r="E18" i="18"/>
  <c r="N17" i="18"/>
  <c r="E17" i="18"/>
  <c r="N16" i="18"/>
  <c r="E16" i="18"/>
  <c r="N15" i="18"/>
  <c r="E15" i="18"/>
  <c r="M14" i="18"/>
  <c r="L14" i="18"/>
  <c r="K14" i="18"/>
  <c r="J14" i="18"/>
  <c r="I14" i="18"/>
  <c r="H14" i="18"/>
  <c r="G14" i="18"/>
  <c r="F14" i="18"/>
  <c r="C14" i="18"/>
  <c r="N13" i="18"/>
  <c r="N12" i="18"/>
  <c r="E12" i="18"/>
  <c r="N11" i="18"/>
  <c r="E11" i="18"/>
  <c r="N10" i="18"/>
  <c r="E10" i="18"/>
  <c r="N9" i="18"/>
  <c r="E9" i="18"/>
  <c r="M7" i="18"/>
  <c r="L7" i="18"/>
  <c r="L21" i="18" s="1"/>
  <c r="J7" i="18"/>
  <c r="I7" i="18"/>
  <c r="H7" i="18"/>
  <c r="G7" i="18"/>
  <c r="F7" i="18"/>
  <c r="F21" i="18" s="1"/>
  <c r="B2" i="18"/>
  <c r="I25" i="17"/>
  <c r="J24" i="17"/>
  <c r="G24" i="17"/>
  <c r="J23" i="17"/>
  <c r="I23" i="17"/>
  <c r="H23" i="17"/>
  <c r="G23" i="17"/>
  <c r="F23" i="17"/>
  <c r="J21" i="17"/>
  <c r="I21" i="17"/>
  <c r="G21" i="17"/>
  <c r="F21" i="17"/>
  <c r="H21" i="17" s="1"/>
  <c r="D21" i="17"/>
  <c r="C21" i="17"/>
  <c r="K20" i="17"/>
  <c r="H20" i="17"/>
  <c r="E20" i="17"/>
  <c r="K19" i="17"/>
  <c r="H19" i="17"/>
  <c r="E19" i="17"/>
  <c r="K18" i="17"/>
  <c r="K21" i="17" s="1"/>
  <c r="H18" i="17"/>
  <c r="E18" i="17"/>
  <c r="J16" i="17"/>
  <c r="I16" i="17"/>
  <c r="I24" i="17" s="1"/>
  <c r="H16" i="17"/>
  <c r="G16" i="17"/>
  <c r="F16" i="17"/>
  <c r="F24" i="17" s="1"/>
  <c r="F25" i="17" s="1"/>
  <c r="D16" i="17"/>
  <c r="E16" i="17" s="1"/>
  <c r="C16" i="17"/>
  <c r="K15" i="17"/>
  <c r="H15" i="17"/>
  <c r="E15" i="17"/>
  <c r="K14" i="17"/>
  <c r="H14" i="17"/>
  <c r="E14" i="17"/>
  <c r="K13" i="17"/>
  <c r="H13" i="17"/>
  <c r="E13" i="17"/>
  <c r="K12" i="17"/>
  <c r="H12" i="17"/>
  <c r="E12" i="17"/>
  <c r="K11" i="17"/>
  <c r="H11" i="17"/>
  <c r="E11" i="17"/>
  <c r="K10" i="17"/>
  <c r="H10" i="17"/>
  <c r="E10" i="17"/>
  <c r="K8" i="17"/>
  <c r="K23" i="17" s="1"/>
  <c r="H8" i="17"/>
  <c r="B2" i="17"/>
  <c r="E22" i="16"/>
  <c r="H21" i="16"/>
  <c r="H20" i="16"/>
  <c r="H19" i="16"/>
  <c r="H18" i="16"/>
  <c r="H17" i="16"/>
  <c r="H16" i="16"/>
  <c r="H15" i="16"/>
  <c r="H14" i="16"/>
  <c r="D22" i="16"/>
  <c r="H11" i="16"/>
  <c r="H10" i="16"/>
  <c r="B2" i="16"/>
  <c r="U21" i="15"/>
  <c r="T21" i="15"/>
  <c r="S21" i="15"/>
  <c r="R21" i="15"/>
  <c r="Q21" i="15"/>
  <c r="P21" i="15"/>
  <c r="O21" i="15"/>
  <c r="N21" i="15"/>
  <c r="M21" i="15"/>
  <c r="L21" i="15"/>
  <c r="K21" i="15"/>
  <c r="J21" i="15"/>
  <c r="I21" i="15"/>
  <c r="H21" i="15"/>
  <c r="G21" i="15"/>
  <c r="F21" i="15"/>
  <c r="E21" i="15"/>
  <c r="D21" i="15"/>
  <c r="C21" i="15"/>
  <c r="V20" i="15"/>
  <c r="V19" i="15"/>
  <c r="V18" i="15"/>
  <c r="V17" i="15"/>
  <c r="V16" i="15"/>
  <c r="V15" i="15"/>
  <c r="V14" i="15"/>
  <c r="V13" i="15"/>
  <c r="V12" i="15"/>
  <c r="V11" i="15"/>
  <c r="V10" i="15"/>
  <c r="V9" i="15"/>
  <c r="V8" i="15"/>
  <c r="V21" i="15" s="1"/>
  <c r="V7" i="15"/>
  <c r="B2" i="15"/>
  <c r="R22" i="14"/>
  <c r="P22" i="14"/>
  <c r="L22" i="14"/>
  <c r="J22" i="14"/>
  <c r="H22" i="14"/>
  <c r="F22" i="14"/>
  <c r="D22" i="14"/>
  <c r="S19" i="14"/>
  <c r="S18" i="14"/>
  <c r="S16" i="14"/>
  <c r="S15" i="14"/>
  <c r="N22" i="14"/>
  <c r="M22" i="14"/>
  <c r="E22" i="14"/>
  <c r="S12" i="14"/>
  <c r="S9" i="14"/>
  <c r="B2" i="14"/>
  <c r="B2" i="13"/>
  <c r="C20" i="12"/>
  <c r="C19" i="12"/>
  <c r="B2" i="12"/>
  <c r="B2" i="11"/>
  <c r="D31" i="10"/>
  <c r="D25" i="10"/>
  <c r="D20" i="10"/>
  <c r="D16" i="10"/>
  <c r="D8" i="10"/>
  <c r="B2" i="10"/>
  <c r="G6" i="9"/>
  <c r="F6" i="9"/>
  <c r="F13" i="9" s="1"/>
  <c r="E6" i="9"/>
  <c r="D6" i="9"/>
  <c r="E5" i="9"/>
  <c r="B2" i="9"/>
  <c r="F5" i="9" s="1"/>
  <c r="H43" i="8"/>
  <c r="E43" i="8"/>
  <c r="H42" i="8"/>
  <c r="E42" i="8"/>
  <c r="H41" i="8"/>
  <c r="E41" i="8"/>
  <c r="H40" i="8"/>
  <c r="E40" i="8"/>
  <c r="H39" i="8"/>
  <c r="E39" i="8"/>
  <c r="G38" i="8"/>
  <c r="F38" i="8"/>
  <c r="H38" i="8" s="1"/>
  <c r="D38" i="8"/>
  <c r="C38" i="8"/>
  <c r="H37" i="8"/>
  <c r="E37" i="8"/>
  <c r="H36" i="8"/>
  <c r="E36" i="8"/>
  <c r="H35" i="8"/>
  <c r="E35" i="8"/>
  <c r="H34" i="8"/>
  <c r="E34" i="8"/>
  <c r="H33" i="8"/>
  <c r="E33" i="8"/>
  <c r="H32" i="8"/>
  <c r="D30" i="8"/>
  <c r="H31" i="8"/>
  <c r="E31" i="8"/>
  <c r="G30" i="8"/>
  <c r="H30" i="8" s="1"/>
  <c r="F30" i="8"/>
  <c r="H29" i="8"/>
  <c r="E29" i="8"/>
  <c r="H28" i="8"/>
  <c r="E28" i="8"/>
  <c r="H27" i="8"/>
  <c r="E27" i="8"/>
  <c r="H26" i="8"/>
  <c r="E26" i="8"/>
  <c r="H25" i="8"/>
  <c r="E25" i="8"/>
  <c r="H24" i="8"/>
  <c r="E24" i="8"/>
  <c r="H23" i="8"/>
  <c r="E23" i="8"/>
  <c r="H22" i="8"/>
  <c r="E22" i="8"/>
  <c r="H21" i="8"/>
  <c r="E21" i="8"/>
  <c r="H20" i="8"/>
  <c r="E20" i="8"/>
  <c r="H19" i="8"/>
  <c r="E19" i="8"/>
  <c r="H18" i="8"/>
  <c r="E18" i="8"/>
  <c r="H17" i="8"/>
  <c r="H16" i="8"/>
  <c r="E16" i="8"/>
  <c r="H15" i="8"/>
  <c r="G14" i="8"/>
  <c r="F14" i="8"/>
  <c r="H14" i="8" s="1"/>
  <c r="H13" i="8"/>
  <c r="E13" i="8"/>
  <c r="G11" i="8"/>
  <c r="E12" i="8"/>
  <c r="D11" i="8"/>
  <c r="H10" i="8"/>
  <c r="E10" i="8"/>
  <c r="H9" i="8"/>
  <c r="G8" i="8"/>
  <c r="F8" i="8"/>
  <c r="H8" i="8" s="1"/>
  <c r="C8" i="8"/>
  <c r="H7" i="8"/>
  <c r="E7" i="8"/>
  <c r="H6" i="8"/>
  <c r="E6" i="8"/>
  <c r="B2" i="8"/>
  <c r="B2" i="6"/>
  <c r="B2" i="4"/>
  <c r="H44" i="3"/>
  <c r="E44" i="3"/>
  <c r="H42" i="3"/>
  <c r="E42" i="3"/>
  <c r="H41" i="3"/>
  <c r="E41" i="3"/>
  <c r="H40" i="3"/>
  <c r="E40" i="3"/>
  <c r="H39" i="3"/>
  <c r="E39" i="3"/>
  <c r="H38" i="3"/>
  <c r="E38" i="3"/>
  <c r="G37" i="3"/>
  <c r="F37" i="3"/>
  <c r="H37" i="3" s="1"/>
  <c r="D37" i="3"/>
  <c r="C37" i="3"/>
  <c r="E37" i="3" s="1"/>
  <c r="H36" i="3"/>
  <c r="E36" i="3"/>
  <c r="H35" i="3"/>
  <c r="E35" i="3"/>
  <c r="G34" i="3"/>
  <c r="D34" i="3"/>
  <c r="C34" i="3"/>
  <c r="H33" i="3"/>
  <c r="E33" i="3"/>
  <c r="H32" i="3"/>
  <c r="H31" i="3"/>
  <c r="E31" i="3"/>
  <c r="D29" i="3"/>
  <c r="F29" i="3"/>
  <c r="H28" i="3"/>
  <c r="E28" i="3"/>
  <c r="H27" i="3"/>
  <c r="H26" i="3"/>
  <c r="E26" i="3"/>
  <c r="E25" i="3"/>
  <c r="H24" i="3"/>
  <c r="E24" i="3"/>
  <c r="H23" i="3"/>
  <c r="E23" i="3"/>
  <c r="H22" i="3"/>
  <c r="E22" i="3"/>
  <c r="H21" i="3"/>
  <c r="E21" i="3"/>
  <c r="H20" i="3"/>
  <c r="E20" i="3"/>
  <c r="H19" i="3"/>
  <c r="E19" i="3"/>
  <c r="H18" i="3"/>
  <c r="E18" i="3"/>
  <c r="H17" i="3"/>
  <c r="E17" i="3"/>
  <c r="H16" i="3"/>
  <c r="E16" i="3"/>
  <c r="D13" i="3"/>
  <c r="H15" i="3"/>
  <c r="E15" i="3"/>
  <c r="H14" i="3"/>
  <c r="E14" i="3"/>
  <c r="G13" i="3"/>
  <c r="F13" i="3"/>
  <c r="C13" i="3"/>
  <c r="E13" i="3" s="1"/>
  <c r="H12" i="3"/>
  <c r="E12" i="3"/>
  <c r="G6" i="3"/>
  <c r="E11" i="3"/>
  <c r="H10" i="3"/>
  <c r="E10" i="3"/>
  <c r="H9" i="3"/>
  <c r="E9" i="3"/>
  <c r="H8" i="3"/>
  <c r="E8" i="3"/>
  <c r="H7" i="3"/>
  <c r="E7" i="3"/>
  <c r="E6" i="3"/>
  <c r="D6" i="3"/>
  <c r="C6" i="3"/>
  <c r="B2" i="3"/>
  <c r="H67" i="2"/>
  <c r="E67" i="2"/>
  <c r="H66" i="2"/>
  <c r="E66" i="2"/>
  <c r="C65" i="13" s="1"/>
  <c r="H65" i="2"/>
  <c r="E65" i="2"/>
  <c r="C64" i="13" s="1"/>
  <c r="H64" i="2"/>
  <c r="H63" i="2"/>
  <c r="H62" i="2"/>
  <c r="E62" i="2"/>
  <c r="C61" i="13" s="1"/>
  <c r="H61" i="2"/>
  <c r="E61" i="2"/>
  <c r="C60" i="13" s="1"/>
  <c r="H60" i="2"/>
  <c r="E60" i="2"/>
  <c r="C59" i="13" s="1"/>
  <c r="H59" i="2"/>
  <c r="H58" i="2"/>
  <c r="E58" i="2"/>
  <c r="C57" i="13" s="1"/>
  <c r="H57" i="2"/>
  <c r="E57" i="2"/>
  <c r="C56" i="13" s="1"/>
  <c r="H56" i="2"/>
  <c r="E56" i="2"/>
  <c r="C55" i="13" s="1"/>
  <c r="H55" i="2"/>
  <c r="H52" i="2"/>
  <c r="E52" i="2"/>
  <c r="C51" i="13" s="1"/>
  <c r="H51" i="2"/>
  <c r="E51" i="2"/>
  <c r="C50" i="13" s="1"/>
  <c r="H50" i="2"/>
  <c r="E50" i="2"/>
  <c r="C49" i="13" s="1"/>
  <c r="H49" i="2"/>
  <c r="E49" i="2"/>
  <c r="C48" i="13" s="1"/>
  <c r="E48" i="2"/>
  <c r="C47" i="13" s="1"/>
  <c r="H46" i="2"/>
  <c r="E46" i="2"/>
  <c r="H45" i="2"/>
  <c r="E45" i="2"/>
  <c r="H44" i="2"/>
  <c r="E44" i="2"/>
  <c r="C43" i="13" s="1"/>
  <c r="H43" i="2"/>
  <c r="H42" i="2"/>
  <c r="E42" i="2"/>
  <c r="C41" i="13" s="1"/>
  <c r="H40" i="2"/>
  <c r="E40" i="2"/>
  <c r="C39" i="13" s="1"/>
  <c r="E39" i="2"/>
  <c r="C38" i="13" s="1"/>
  <c r="H35" i="2"/>
  <c r="E35" i="2"/>
  <c r="C36" i="10" s="1"/>
  <c r="H34" i="2"/>
  <c r="E34" i="2"/>
  <c r="C35" i="10" s="1"/>
  <c r="H33" i="2"/>
  <c r="H32" i="2"/>
  <c r="E32" i="2"/>
  <c r="C33" i="10" s="1"/>
  <c r="E33" i="10" s="1"/>
  <c r="H31" i="2"/>
  <c r="E30" i="2"/>
  <c r="H29" i="2"/>
  <c r="E29" i="2"/>
  <c r="H28" i="2"/>
  <c r="E28" i="2"/>
  <c r="C29" i="10" s="1"/>
  <c r="H27" i="2"/>
  <c r="H26" i="2"/>
  <c r="E26" i="2"/>
  <c r="C27" i="10" s="1"/>
  <c r="E27" i="10" s="1"/>
  <c r="C25" i="13" s="1"/>
  <c r="H25" i="2"/>
  <c r="H23" i="2"/>
  <c r="E23" i="2"/>
  <c r="C24" i="10" s="1"/>
  <c r="E24" i="10" s="1"/>
  <c r="C22" i="13" s="1"/>
  <c r="H22" i="2"/>
  <c r="E22" i="2"/>
  <c r="C23" i="10" s="1"/>
  <c r="E23" i="10" s="1"/>
  <c r="H21" i="2"/>
  <c r="H20" i="2"/>
  <c r="H18" i="2"/>
  <c r="E18" i="2"/>
  <c r="C19" i="10" s="1"/>
  <c r="E19" i="10" s="1"/>
  <c r="C17" i="13" s="1"/>
  <c r="H17" i="2"/>
  <c r="E17" i="2"/>
  <c r="C18" i="10" s="1"/>
  <c r="E18" i="10" s="1"/>
  <c r="C16" i="13" s="1"/>
  <c r="H16" i="2"/>
  <c r="H14" i="2"/>
  <c r="E14" i="2"/>
  <c r="C15" i="10" s="1"/>
  <c r="E15" i="10" s="1"/>
  <c r="C13" i="13" s="1"/>
  <c r="H13" i="2"/>
  <c r="E13" i="2"/>
  <c r="C14" i="10" s="1"/>
  <c r="E14" i="10" s="1"/>
  <c r="C12" i="13" s="1"/>
  <c r="H12" i="2"/>
  <c r="E12" i="2"/>
  <c r="C13" i="10" s="1"/>
  <c r="E13" i="10" s="1"/>
  <c r="C11" i="13" s="1"/>
  <c r="E10" i="2"/>
  <c r="C11" i="10" s="1"/>
  <c r="E11" i="10" s="1"/>
  <c r="C9" i="13" s="1"/>
  <c r="H9" i="2"/>
  <c r="H8" i="2"/>
  <c r="B2" i="2"/>
  <c r="D20" i="1"/>
  <c r="D19" i="1"/>
  <c r="D18" i="1"/>
  <c r="F15" i="1"/>
  <c r="F20" i="1" s="1"/>
  <c r="G5" i="1"/>
  <c r="L5" i="1" s="1"/>
  <c r="F5" i="1"/>
  <c r="K5" i="1" s="1"/>
  <c r="E5" i="1"/>
  <c r="J5" i="1" s="1"/>
  <c r="D5" i="1"/>
  <c r="I5" i="1" s="1"/>
  <c r="D5" i="9" l="1"/>
  <c r="C58" i="13"/>
  <c r="C46" i="13"/>
  <c r="H13" i="3"/>
  <c r="E34" i="3"/>
  <c r="E59" i="2"/>
  <c r="E11" i="2"/>
  <c r="C12" i="10" s="1"/>
  <c r="E12" i="10" s="1"/>
  <c r="C10" i="13" s="1"/>
  <c r="H30" i="2"/>
  <c r="H24" i="2"/>
  <c r="H15" i="2"/>
  <c r="H19" i="2"/>
  <c r="E24" i="2"/>
  <c r="E47" i="2"/>
  <c r="H47" i="2"/>
  <c r="H7" i="2"/>
  <c r="C44" i="13"/>
  <c r="E15" i="2"/>
  <c r="C45" i="13"/>
  <c r="C34" i="13"/>
  <c r="E36" i="10"/>
  <c r="H38" i="2"/>
  <c r="E63" i="2"/>
  <c r="K8" i="29"/>
  <c r="C28" i="26"/>
  <c r="C6" i="11"/>
  <c r="D27" i="26"/>
  <c r="C27" i="26" s="1"/>
  <c r="F18" i="1"/>
  <c r="E8" i="2"/>
  <c r="H11" i="2"/>
  <c r="E16" i="2"/>
  <c r="C17" i="10" s="1"/>
  <c r="E19" i="2"/>
  <c r="E20" i="2"/>
  <c r="E21" i="2"/>
  <c r="E25" i="2"/>
  <c r="E27" i="2"/>
  <c r="C27" i="13"/>
  <c r="E29" i="10"/>
  <c r="E31" i="2"/>
  <c r="E35" i="10"/>
  <c r="C33" i="13"/>
  <c r="H39" i="2"/>
  <c r="H48" i="2"/>
  <c r="E55" i="2"/>
  <c r="E64" i="2"/>
  <c r="E27" i="3"/>
  <c r="C6" i="9"/>
  <c r="C31" i="13"/>
  <c r="S21" i="14"/>
  <c r="H25" i="17"/>
  <c r="F12" i="10"/>
  <c r="E30" i="3"/>
  <c r="C29" i="3"/>
  <c r="E29" i="3" s="1"/>
  <c r="H12" i="8"/>
  <c r="F11" i="8"/>
  <c r="H11" i="8" s="1"/>
  <c r="F19" i="1"/>
  <c r="E9" i="2"/>
  <c r="H10" i="2"/>
  <c r="E33" i="2"/>
  <c r="E38" i="2"/>
  <c r="H41" i="2"/>
  <c r="E43" i="2"/>
  <c r="D43" i="3"/>
  <c r="D45" i="3" s="1"/>
  <c r="H25" i="3"/>
  <c r="E32" i="3"/>
  <c r="E9" i="8"/>
  <c r="D8" i="8"/>
  <c r="E8" i="8" s="1"/>
  <c r="E32" i="8"/>
  <c r="C30" i="8"/>
  <c r="E30" i="8" s="1"/>
  <c r="D13" i="9"/>
  <c r="I22" i="14"/>
  <c r="E41" i="2"/>
  <c r="C66" i="13"/>
  <c r="H11" i="3"/>
  <c r="F6" i="3"/>
  <c r="H29" i="3"/>
  <c r="H30" i="3"/>
  <c r="G29" i="3"/>
  <c r="G43" i="3" s="1"/>
  <c r="G45" i="3" s="1"/>
  <c r="E15" i="8"/>
  <c r="D14" i="8"/>
  <c r="D17" i="8"/>
  <c r="F24" i="10"/>
  <c r="C30" i="10"/>
  <c r="C28" i="10" s="1"/>
  <c r="G13" i="9"/>
  <c r="S10" i="14"/>
  <c r="S11" i="14"/>
  <c r="S20" i="14"/>
  <c r="F22" i="16"/>
  <c r="H9" i="16"/>
  <c r="H13" i="16"/>
  <c r="G22" i="16"/>
  <c r="J25" i="17"/>
  <c r="G21" i="18"/>
  <c r="N14" i="18"/>
  <c r="F34" i="3"/>
  <c r="H34" i="3" s="1"/>
  <c r="C11" i="8"/>
  <c r="E11" i="8" s="1"/>
  <c r="C17" i="8"/>
  <c r="E38" i="8"/>
  <c r="G5" i="9"/>
  <c r="C5" i="9"/>
  <c r="C21" i="12"/>
  <c r="S13" i="14"/>
  <c r="S14" i="14"/>
  <c r="H24" i="17"/>
  <c r="E13" i="9"/>
  <c r="Q22" i="14"/>
  <c r="S17" i="14"/>
  <c r="C22" i="16"/>
  <c r="C22" i="14"/>
  <c r="K22" i="14"/>
  <c r="S8" i="14"/>
  <c r="H8" i="16"/>
  <c r="H12" i="16"/>
  <c r="K16" i="17"/>
  <c r="K24" i="17" s="1"/>
  <c r="K25" i="17" s="1"/>
  <c r="E21" i="17"/>
  <c r="E14" i="18"/>
  <c r="G9" i="20"/>
  <c r="G8" i="20" s="1"/>
  <c r="H14" i="21"/>
  <c r="F8" i="20"/>
  <c r="G24" i="20"/>
  <c r="G22" i="14"/>
  <c r="O22" i="14"/>
  <c r="G25" i="17"/>
  <c r="G12" i="20"/>
  <c r="C30" i="19"/>
  <c r="G31" i="20"/>
  <c r="F24" i="20"/>
  <c r="H8" i="27"/>
  <c r="F25" i="27" s="1"/>
  <c r="G22" i="21"/>
  <c r="C21" i="22"/>
  <c r="C22" i="22"/>
  <c r="H13" i="22"/>
  <c r="H21" i="22" s="1"/>
  <c r="C13" i="26"/>
  <c r="D8" i="26"/>
  <c r="E11" i="20"/>
  <c r="G15" i="20"/>
  <c r="E22" i="21"/>
  <c r="E22" i="22"/>
  <c r="E21" i="22"/>
  <c r="L8" i="27"/>
  <c r="J25" i="27" s="1"/>
  <c r="Q8" i="27"/>
  <c r="C18" i="25"/>
  <c r="D21" i="22"/>
  <c r="E33" i="23"/>
  <c r="H33" i="23" s="1"/>
  <c r="H18" i="21"/>
  <c r="G22" i="22"/>
  <c r="H16" i="22"/>
  <c r="E8" i="26"/>
  <c r="I8" i="26"/>
  <c r="M8" i="26"/>
  <c r="H22" i="22" l="1"/>
  <c r="E68" i="2"/>
  <c r="C54" i="13"/>
  <c r="C22" i="10"/>
  <c r="C10" i="11"/>
  <c r="E34" i="23"/>
  <c r="S22" i="14"/>
  <c r="E15" i="1"/>
  <c r="E17" i="8"/>
  <c r="C14" i="8"/>
  <c r="E14" i="8" s="1"/>
  <c r="D30" i="10"/>
  <c r="D28" i="10" s="1"/>
  <c r="C28" i="13"/>
  <c r="C26" i="13" s="1"/>
  <c r="F43" i="3"/>
  <c r="H6" i="3"/>
  <c r="C10" i="10"/>
  <c r="E10" i="10" s="1"/>
  <c r="C8" i="13" s="1"/>
  <c r="C13" i="9"/>
  <c r="D21" i="12" s="1"/>
  <c r="C21" i="10"/>
  <c r="H53" i="2"/>
  <c r="E8" i="27"/>
  <c r="M8" i="27"/>
  <c r="H22" i="16"/>
  <c r="C8" i="18"/>
  <c r="C7" i="11"/>
  <c r="H68" i="2"/>
  <c r="C37" i="13"/>
  <c r="C43" i="3"/>
  <c r="H36" i="2"/>
  <c r="I8" i="27"/>
  <c r="D8" i="27"/>
  <c r="C8" i="26"/>
  <c r="G11" i="20"/>
  <c r="G15" i="1"/>
  <c r="F28" i="10"/>
  <c r="D16" i="20"/>
  <c r="C42" i="13"/>
  <c r="C40" i="13" s="1"/>
  <c r="C34" i="10"/>
  <c r="C63" i="13"/>
  <c r="C62" i="13" s="1"/>
  <c r="C32" i="10"/>
  <c r="C35" i="20"/>
  <c r="C26" i="10"/>
  <c r="C16" i="10"/>
  <c r="E17" i="10"/>
  <c r="C21" i="21"/>
  <c r="C9" i="10"/>
  <c r="E7" i="2"/>
  <c r="C52" i="13" l="1"/>
  <c r="H69" i="2"/>
  <c r="E30" i="10"/>
  <c r="E28" i="10" s="1"/>
  <c r="E26" i="10"/>
  <c r="C25" i="10"/>
  <c r="E16" i="10"/>
  <c r="F16" i="10" s="1"/>
  <c r="C15" i="13"/>
  <c r="C14" i="13" s="1"/>
  <c r="C33" i="20"/>
  <c r="G35" i="20"/>
  <c r="F33" i="20"/>
  <c r="G19" i="1"/>
  <c r="G18" i="1"/>
  <c r="G20" i="1"/>
  <c r="E36" i="2"/>
  <c r="C45" i="3"/>
  <c r="E45" i="3" s="1"/>
  <c r="E43" i="3"/>
  <c r="E8" i="18"/>
  <c r="C7" i="18"/>
  <c r="E9" i="10"/>
  <c r="C8" i="10"/>
  <c r="G16" i="20"/>
  <c r="D14" i="20"/>
  <c r="C8" i="27"/>
  <c r="D13" i="12"/>
  <c r="D11" i="12"/>
  <c r="D12" i="12"/>
  <c r="D9" i="12"/>
  <c r="D8" i="12"/>
  <c r="D7" i="12"/>
  <c r="D20" i="12"/>
  <c r="D19" i="12"/>
  <c r="D17" i="12"/>
  <c r="D15" i="12"/>
  <c r="D16" i="12"/>
  <c r="D37" i="10"/>
  <c r="H34" i="23"/>
  <c r="E22" i="10"/>
  <c r="C20" i="13"/>
  <c r="H21" i="21"/>
  <c r="D22" i="21"/>
  <c r="C22" i="21"/>
  <c r="C30" i="13"/>
  <c r="C29" i="13" s="1"/>
  <c r="C31" i="10"/>
  <c r="E32" i="10"/>
  <c r="E31" i="10" s="1"/>
  <c r="F31" i="10" s="1"/>
  <c r="C32" i="13"/>
  <c r="E34" i="10"/>
  <c r="F34" i="10" s="1"/>
  <c r="E53" i="2"/>
  <c r="C11" i="11"/>
  <c r="C19" i="13"/>
  <c r="E21" i="10"/>
  <c r="C20" i="10"/>
  <c r="H43" i="3"/>
  <c r="F45" i="3"/>
  <c r="H45" i="3" s="1"/>
  <c r="E20" i="1"/>
  <c r="E18" i="1"/>
  <c r="E19" i="1"/>
  <c r="C67" i="13"/>
  <c r="C68" i="13" s="1"/>
  <c r="E20" i="10" l="1"/>
  <c r="F20" i="10" s="1"/>
  <c r="C37" i="10"/>
  <c r="K6" i="29"/>
  <c r="G20" i="20"/>
  <c r="G18" i="20" s="1"/>
  <c r="C18" i="20"/>
  <c r="C21" i="18"/>
  <c r="K8" i="18"/>
  <c r="E7" i="18"/>
  <c r="C18" i="13"/>
  <c r="E69" i="2"/>
  <c r="C7" i="13"/>
  <c r="C6" i="13" s="1"/>
  <c r="E8" i="10"/>
  <c r="C24" i="13"/>
  <c r="C23" i="13" s="1"/>
  <c r="E25" i="10"/>
  <c r="F25" i="10" s="1"/>
  <c r="H22" i="21"/>
  <c r="G14" i="20"/>
  <c r="G33" i="20"/>
  <c r="G37" i="20" s="1"/>
  <c r="F8" i="10" l="1"/>
  <c r="E37" i="10"/>
  <c r="C35" i="13"/>
  <c r="E21" i="18"/>
  <c r="G21" i="20"/>
  <c r="C35" i="19"/>
  <c r="N8" i="18"/>
  <c r="K7" i="18"/>
  <c r="K21" i="18" l="1"/>
  <c r="G39" i="20"/>
  <c r="C12" i="19"/>
  <c r="E23" i="18"/>
  <c r="C5" i="11"/>
  <c r="N7" i="18"/>
  <c r="C18" i="19" l="1"/>
  <c r="C8" i="11"/>
  <c r="C13" i="11" s="1"/>
  <c r="N21" i="18"/>
  <c r="C36" i="19" l="1"/>
  <c r="C38" i="19" l="1"/>
</calcChain>
</file>

<file path=xl/sharedStrings.xml><?xml version="1.0" encoding="utf-8"?>
<sst xmlns="http://schemas.openxmlformats.org/spreadsheetml/2006/main" count="1630" uniqueCount="1005">
  <si>
    <t>ბანკი:</t>
  </si>
  <si>
    <t>თარიღი:</t>
  </si>
  <si>
    <t>ცხრილი 1</t>
  </si>
  <si>
    <t>ძირითადი მაჩვენებლები</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</si>
  <si>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</si>
  <si>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</si>
  <si>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N</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</si>
  <si>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</si>
  <si>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</si>
  <si>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</si>
  <si>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</si>
  <si>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საზედამხედველო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</si>
  <si>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</si>
  <si>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</si>
  <si>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</si>
  <si>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</si>
  <si>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</si>
  <si>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</si>
  <si>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ბაზელ III-ზე დაფუძნებული ჩარჩოს მიხედვით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</si>
  <si>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</si>
  <si>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</si>
  <si>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</si>
  <si>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</si>
  <si>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</si>
  <si>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</si>
  <si>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</si>
  <si>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</si>
  <si>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</si>
  <si>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</si>
  <si>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</si>
  <si>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</si>
  <si>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</si>
  <si>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</si>
  <si>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</si>
  <si>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</si>
  <si>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</si>
  <si>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</si>
  <si>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</si>
  <si>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</si>
  <si>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</si>
  <si>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</si>
  <si>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</si>
  <si>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</si>
  <si>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წმინდა სტაბილური დაფინანსების კოეფიციენტი</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</si>
  <si>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</si>
  <si>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</si>
  <si>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</si>
  <si>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</si>
  <si>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</si>
  <si>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</si>
  <si>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</si>
  <si>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</si>
  <si>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</si>
  <si>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</si>
  <si>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</si>
  <si>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</si>
  <si>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</si>
  <si>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</si>
  <si>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</si>
  <si>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</si>
  <si>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</si>
  <si>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</si>
  <si>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</si>
  <si>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</si>
  <si>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</si>
  <si>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</si>
  <si>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</si>
  <si>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</si>
  <si>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</si>
  <si>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</si>
  <si>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</si>
  <si>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</si>
  <si>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</si>
  <si>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</si>
  <si>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</si>
  <si>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</si>
  <si>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</si>
  <si>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</si>
  <si>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</si>
  <si>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</si>
  <si>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</si>
  <si>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</si>
  <si>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</si>
  <si>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</si>
  <si>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</si>
  <si>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</si>
  <si>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</si>
  <si>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</si>
  <si>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</si>
  <si>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</si>
  <si>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</si>
  <si>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</si>
  <si>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</si>
  <si>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</si>
  <si>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</si>
  <si>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</si>
  <si>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</si>
  <si>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</si>
  <si>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</si>
  <si>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</si>
  <si>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</si>
  <si>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</si>
  <si>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</si>
  <si>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</si>
  <si>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</si>
  <si>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</si>
  <si>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</si>
  <si>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</si>
  <si>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</si>
  <si>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</si>
  <si>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</si>
  <si>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</si>
  <si>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</si>
  <si>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</si>
  <si>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</si>
  <si>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</si>
  <si>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მოგება-ზარალის ანგარიშგება</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</si>
  <si>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</si>
  <si>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</si>
  <si>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</si>
  <si>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</si>
  <si>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</si>
  <si>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</si>
  <si>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</si>
  <si>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</si>
  <si>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</si>
  <si>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</si>
  <si>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</si>
  <si>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</si>
  <si>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</si>
  <si>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</si>
  <si>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</si>
  <si>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</si>
  <si>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</si>
  <si>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</si>
  <si>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</si>
  <si>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</si>
  <si>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</si>
  <si>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</si>
  <si>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</si>
  <si>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</si>
  <si>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</si>
  <si>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</si>
  <si>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</si>
  <si>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</si>
  <si>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</si>
  <si>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</si>
  <si>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</si>
  <si>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</si>
  <si>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</si>
  <si>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</si>
  <si>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</si>
  <si>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</si>
  <si>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ცხრილი 6</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</si>
  <si>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</si>
  <si>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</si>
  <si>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</si>
  <si>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</si>
  <si>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</si>
  <si>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</si>
  <si>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</si>
  <si>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მამუკა შურღაია</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</si>
  <si>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</si>
  <si>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</si>
  <si>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</si>
  <si>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</si>
  <si>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</si>
  <si>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</si>
  <si>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</si>
  <si>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</si>
  <si>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არჩილ ლურსმანაშვილი</t>
  </si>
  <si>
    <t>გენერალური დირექტორის პირველი მოადგილე</t>
  </si>
  <si>
    <t>ბექა კვეზერელი</t>
  </si>
  <si>
    <t>ფინანსური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</si>
  <si>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</si>
  <si>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</si>
  <si>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</si>
  <si>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</si>
  <si>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</si>
  <si>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</si>
  <si>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</si>
  <si>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</si>
  <si>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კახა ბასიაშვილი</t>
  </si>
  <si>
    <t>რისკების დირექტორის მოადგილე</t>
  </si>
  <si>
    <t>დავით ნიკოლაიშვილი</t>
  </si>
  <si>
    <t>კომერციული დირექტორი</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</si>
  <si>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</si>
  <si>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</si>
  <si>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</si>
  <si>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</si>
  <si>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</si>
  <si>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</si>
  <si>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</si>
  <si>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</si>
  <si>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</si>
  <si>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</si>
  <si>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</si>
  <si>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</si>
  <si>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</si>
  <si>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სს სილქ ბანკი</t>
  </si>
  <si>
    <t>რეზიდენტი</t>
  </si>
  <si>
    <t>არარეზიდენტი</t>
  </si>
  <si>
    <t>სხვა</t>
  </si>
  <si>
    <t>აქტივების გადაფასების რეზერვი</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</si>
  <si>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</si>
  <si>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</si>
  <si>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</si>
  <si>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</si>
  <si>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</si>
  <si>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</si>
  <si>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</si>
  <si>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</si>
  <si>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</si>
  <si>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</si>
  <si>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</si>
  <si>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</si>
  <si>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</si>
  <si>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</si>
  <si>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</si>
  <si>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</si>
  <si>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</si>
  <si>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</si>
  <si>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</si>
  <si>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</si>
  <si>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</si>
  <si>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</si>
  <si>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</si>
  <si>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</si>
  <si>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</si>
  <si>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</si>
  <si>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</si>
  <si>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</si>
  <si>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</si>
  <si>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</si>
  <si>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</si>
  <si>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</si>
  <si>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</si>
  <si>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</si>
  <si>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</si>
  <si>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</si>
  <si>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</si>
  <si>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</si>
  <si>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</si>
  <si>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</si>
  <si>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</si>
  <si>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</si>
  <si>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</si>
  <si>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სულ რისკის მიხედვით შეწონილი რისკის პოზიციები</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</si>
  <si>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</si>
  <si>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</si>
  <si>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</si>
  <si>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</si>
  <si>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</si>
  <si>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</si>
  <si>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</si>
  <si>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</si>
  <si>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</si>
  <si>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</si>
  <si>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</si>
  <si>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</si>
  <si>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</si>
  <si>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</si>
  <si>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</si>
  <si>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</si>
  <si>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</si>
  <si>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</si>
  <si>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</si>
  <si>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</si>
  <si>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</si>
  <si>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</si>
  <si>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</si>
  <si>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</si>
  <si>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</si>
  <si>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</si>
  <si>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</si>
  <si>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</si>
  <si>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</si>
  <si>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</si>
  <si>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</si>
  <si>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</si>
  <si>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</si>
  <si>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</si>
  <si>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</si>
  <si>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</si>
  <si>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</si>
  <si>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</si>
  <si>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</si>
  <si>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</si>
  <si>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</si>
  <si>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</si>
  <si>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</si>
  <si>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რისკის მიხედვით შეწონილი რისკის პოზიციები</t>
  </si>
  <si>
    <t>ლარებით</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</si>
  <si>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</si>
  <si>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</si>
  <si>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</si>
  <si>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</si>
  <si>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</si>
  <si>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კონტრაგენტთან დაკავშირებული საკრედიტო რისკის მიხედვით შეწონილი რისკის პოზიციები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</si>
  <si>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</si>
  <si>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</si>
  <si>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</si>
  <si>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ცხრილი 7</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</si>
  <si>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</si>
  <si>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</si>
  <si>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</si>
  <si>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</si>
  <si>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</si>
  <si>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</si>
  <si>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</si>
  <si>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</si>
  <si>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</si>
  <si>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</si>
  <si>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</si>
  <si>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</si>
  <si>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</si>
  <si>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</si>
  <si>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</si>
  <si>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</si>
  <si>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</si>
  <si>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</si>
  <si>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</si>
  <si>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 *</t>
  </si>
  <si>
    <t>სულ საკრედიტო რისკის მიხედვით შეწონვას დაქვემდებარებული რისკის პოზიციები</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</si>
  <si>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</si>
  <si>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</si>
  <si>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</si>
  <si>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</si>
  <si>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</si>
  <si>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</si>
  <si>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</si>
  <si>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</si>
  <si>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</si>
  <si>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</si>
  <si>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</si>
  <si>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</si>
  <si>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</si>
  <si>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</si>
  <si>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</si>
  <si>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</si>
  <si>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</si>
  <si>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</si>
  <si>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</si>
  <si>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</si>
  <si>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</si>
  <si>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</si>
  <si>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</si>
  <si>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</si>
  <si>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</si>
  <si>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</si>
  <si>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</si>
  <si>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</si>
  <si>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</si>
  <si>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</si>
  <si>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</si>
  <si>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</si>
  <si>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ცხრილი 10</t>
  </si>
  <si>
    <t>საბალანსო უწყისისა და საზედამხედველო კაპიტალის ელემენტებს შორის კავშირები</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</si>
  <si>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</si>
  <si>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</si>
  <si>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</si>
  <si>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 xml:space="preserve"> ცხრილი 9 (Capital), N38</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</si>
  <si>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</si>
  <si>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</si>
  <si>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</si>
  <si>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</si>
  <si>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</si>
  <si>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</si>
  <si>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</si>
  <si>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</si>
  <si>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</si>
  <si>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</si>
  <si>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</si>
  <si>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</si>
  <si>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</si>
  <si>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</si>
  <si>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</si>
  <si>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</si>
  <si>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</si>
  <si>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</si>
  <si>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</si>
  <si>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</si>
  <si>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</si>
  <si>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</si>
  <si>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</si>
  <si>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</si>
  <si>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</si>
  <si>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</si>
  <si>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</si>
  <si>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</si>
  <si>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</si>
  <si>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</si>
  <si>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</si>
  <si>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</si>
  <si>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</si>
  <si>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</si>
  <si>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</si>
  <si>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</si>
  <si>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</si>
  <si>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</si>
  <si>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</si>
  <si>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</si>
  <si>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</si>
  <si>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</si>
  <si>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</si>
  <si>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</si>
  <si>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</si>
  <si>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</si>
  <si>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</si>
  <si>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</si>
  <si>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</si>
  <si>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</si>
  <si>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</si>
  <si>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</si>
  <si>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</si>
  <si>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</si>
  <si>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</si>
  <si>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</si>
  <si>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</si>
  <si>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</si>
  <si>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</si>
  <si>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</si>
  <si>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</si>
  <si>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</si>
  <si>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</si>
  <si>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</si>
  <si>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</si>
  <si>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</si>
  <si>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</si>
  <si>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</si>
  <si>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ლიკვიდობის გადაფარვის კოეფიციენტი</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</si>
  <si>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</si>
  <si>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</si>
  <si>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</si>
  <si>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</si>
  <si>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</si>
  <si>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</si>
  <si>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</si>
  <si>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</si>
  <si>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</si>
  <si>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</si>
  <si>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</si>
  <si>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</si>
  <si>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</si>
  <si>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</si>
  <si>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</si>
  <si>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</si>
  <si>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</si>
  <si>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</si>
  <si>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</si>
  <si>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</si>
  <si>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</si>
  <si>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</si>
  <si>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</si>
  <si>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</si>
  <si>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</si>
  <si>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</si>
  <si>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</si>
  <si>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</si>
  <si>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</si>
  <si>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</si>
  <si>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</si>
  <si>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</si>
  <si>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</si>
  <si>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</si>
  <si>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</si>
  <si>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ლევერიჯის კოეფიციენტი</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</si>
  <si>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</si>
  <si>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</si>
  <si>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</si>
  <si>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</si>
  <si>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</si>
  <si>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</si>
  <si>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</si>
  <si>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</si>
  <si>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</si>
  <si>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</si>
  <si>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</si>
  <si>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</si>
  <si>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</si>
  <si>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</si>
  <si>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</si>
  <si>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</si>
  <si>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</si>
  <si>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</si>
  <si>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</si>
  <si>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</si>
  <si>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</si>
  <si>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</si>
  <si>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</si>
  <si>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</si>
  <si>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</si>
  <si>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</si>
  <si>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</si>
  <si>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</si>
  <si>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</si>
  <si>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</si>
  <si>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</si>
  <si>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</si>
  <si>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</si>
  <si>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</si>
  <si>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</si>
  <si>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</si>
  <si>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</si>
  <si>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</si>
  <si>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</si>
  <si>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</si>
  <si>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</si>
  <si>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 COVID 19-თან დაკავშირებული რეზერვები აკლდება საბალანსო ელემენტებს</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</si>
  <si>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</si>
  <si>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</si>
  <si>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</si>
  <si>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</si>
  <si>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</si>
  <si>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</si>
  <si>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</si>
  <si>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</si>
  <si>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</si>
  <si>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</si>
  <si>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</si>
  <si>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</si>
  <si>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</si>
  <si>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</si>
  <si>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</si>
  <si>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</si>
  <si>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</si>
  <si>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</si>
  <si>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</si>
  <si>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</si>
  <si>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</si>
  <si>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</si>
  <si>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</si>
  <si>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</si>
  <si>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</si>
  <si>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</si>
  <si>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</si>
  <si>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</si>
  <si>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</si>
  <si>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</si>
  <si>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</si>
  <si>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</si>
  <si>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</si>
  <si>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</si>
  <si>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</si>
  <si>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</si>
  <si>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</si>
  <si>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</si>
  <si>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</si>
  <si>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</si>
  <si>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</si>
  <si>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</si>
  <si>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</si>
  <si>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</si>
  <si>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</si>
  <si>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</si>
  <si>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</si>
  <si>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</si>
  <si>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</si>
  <si>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</si>
  <si>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</si>
  <si>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</si>
  <si>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</si>
  <si>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</si>
  <si>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</si>
  <si>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</si>
  <si>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</si>
  <si>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</si>
  <si>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</si>
  <si>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</si>
  <si>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</si>
  <si>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</si>
  <si>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</si>
  <si>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</si>
  <si>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</si>
  <si>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</si>
  <si>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</si>
  <si>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</si>
  <si>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</si>
  <si>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</si>
  <si>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</si>
  <si>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</si>
  <si>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</si>
  <si>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</si>
  <si>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</si>
  <si>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</si>
  <si>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</si>
  <si>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</si>
  <si>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</si>
  <si>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</si>
  <si>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</si>
  <si>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</si>
  <si>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</si>
  <si>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</si>
  <si>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</si>
  <si>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</si>
  <si>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</si>
  <si>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</si>
  <si>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</si>
  <si>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</si>
  <si>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</si>
  <si>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</si>
  <si>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</si>
  <si>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</si>
  <si>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</si>
  <si>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</si>
  <si>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</si>
  <si>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</si>
  <si>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</si>
  <si>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</si>
  <si>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</si>
  <si>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</si>
  <si>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</si>
  <si>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</si>
  <si>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</si>
  <si>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</si>
  <si>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</si>
  <si>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</si>
  <si>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</si>
  <si>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</si>
  <si>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</si>
  <si>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</si>
  <si>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</si>
  <si>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</si>
  <si>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</si>
  <si>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</si>
  <si>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</si>
  <si>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</si>
  <si>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</si>
  <si>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</si>
  <si>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</si>
  <si>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</si>
  <si>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</si>
  <si>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</si>
  <si>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</si>
  <si>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</si>
  <si>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</si>
  <si>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</si>
  <si>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</si>
  <si>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</si>
  <si>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</si>
  <si>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</si>
  <si>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</si>
  <si>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</si>
  <si>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</si>
  <si>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</si>
  <si>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</si>
  <si>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</si>
  <si>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</si>
  <si>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</si>
  <si>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</si>
  <si>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</si>
  <si>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</si>
  <si>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</si>
  <si>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</si>
  <si>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</si>
  <si>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</si>
  <si>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</si>
  <si>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</si>
  <si>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</si>
  <si>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</si>
  <si>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</si>
  <si>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</si>
  <si>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</si>
  <si>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</si>
  <si>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</si>
  <si>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</si>
  <si>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</si>
  <si>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</si>
  <si>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</si>
  <si>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</si>
  <si>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</si>
  <si>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</si>
  <si>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</si>
  <si>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</si>
  <si>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</si>
  <si>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</si>
  <si>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</si>
  <si>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</si>
  <si>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</si>
  <si>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</si>
  <si>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</si>
  <si>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</si>
  <si>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ზ</t>
  </si>
  <si>
    <t>თ</t>
  </si>
  <si>
    <t>ი</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</si>
  <si>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</si>
  <si>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</si>
  <si>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</si>
  <si>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</si>
  <si>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</si>
  <si>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</si>
  <si>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</si>
  <si>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</si>
  <si>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</si>
  <si>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</si>
  <si>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</si>
  <si>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</si>
  <si>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</si>
  <si>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</si>
  <si>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</si>
  <si>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</si>
  <si>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</si>
  <si>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</si>
  <si>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</si>
  <si>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</si>
  <si>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</si>
  <si>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</si>
  <si>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</si>
  <si>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</si>
  <si>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</si>
  <si>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</si>
  <si>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</si>
  <si>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</si>
  <si>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</si>
  <si>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</si>
  <si>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</si>
  <si>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</si>
  <si>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</si>
  <si>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</si>
  <si>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</si>
  <si>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</si>
  <si>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</si>
  <si>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</si>
  <si>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</si>
  <si>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თუ კონკრეტული ცხრილების მიზნებისათვის სხვაგვარად არ არის განსაზღვრული, მონაცემები წარმოდგენილ უნდა იქნას ლარში ანგარიშგების თარიღისათვის არსებული სებ-ის ოფიციალური გაცვლითი კურსით</t>
  </si>
  <si>
    <t>განმარტებები გვერდისთვის 1. Key Ratios, ცხრილი 1</t>
  </si>
  <si>
    <t>(T), (T-1), (T-2), (T-3), (T-4) სვეტებში ბანკებმა უნდა გაამჟღავნოს საანგარიშგებო პერიოდისა (კვარტლის) და  წინა 4 კვარტლის შესაბამისი მონაცემები.</t>
  </si>
  <si>
    <t>(6)-(24) სტრიქონების შესაბამისი მონაცემები უნდა გამოისახოს პროცენტულად.</t>
  </si>
  <si>
    <t>თუ რომელიმე მაჩვენებელი, ახალი სტანდარტის შესაბამისად, ქვეყნდება პირველად, (მაგალითად ბაზელ III-ზე დაფუძნებული ჩარჩოს შესაბამისი კაპიტალი) ბანკები არ არიან ვალდებულნი, შეავსონ წინა ოთხი კვარტალის შესაბამისი ველები.</t>
  </si>
  <si>
    <t>(5), (9) და (10) სტრიქონებში შესავსები მონაცემები გაუქმდება ბაზელ I-ზე დაფუძნებული კაპიტალის ადეკვატურობის მოთხოვნების გაუქმების შესაბამისად 2018 წლის 1-ლი იანვრიდან.</t>
  </si>
  <si>
    <t>(11)-(24) სტრიქონების შესაბამისი კოეფიციენტების დათვლისას ბანკებმა უნდა იხელმძღვანელონ შემდეგი განმარტებებით (შეესაბამება "პილარ 3-ის ფარგლებში ინფორმაციის გამჟღავნების წესის" ტერმინთა განმარტებებს):</t>
  </si>
  <si>
    <t>მთლიანი აქტივები – საბალანსო უწყისით გათვალისწინებული მთლიანი აქტივები;</t>
  </si>
  <si>
    <t>მთლიანი ვალდებულებები – საბალანსო უწყისით გათვალისწინებული მთლიანი ვალდებულებები;</t>
  </si>
  <si>
    <t>სააქციო კაპიტალი – საბალანსო უწყისით გათვალისწინებული სააქციო კაპიტალი;</t>
  </si>
  <si>
    <t>მთლიანი საპროცენტო შემოსავლები – წლიურად გადაანგარიშებული მთლიანი საპროცენტო შემოსავლები;</t>
  </si>
  <si>
    <t>მთლიანი საპროცენტო ხარჯები – წლიურად გადაანგარიშებული მთლიანი საპროცენტო ხარჯები;</t>
  </si>
  <si>
    <t>საოპერაციო შედეგი – წლიურად გადაანგარიშებული ბანკის ყოველდღიური საოპერაციო საქმიანობისგან მიღებული შედეგი, რომელიც გამოითვლება როგორც წმინდა საპროცენტო შემოსავალს მიმატებული მთლიანი არასაპროცენტო შემოსავლები გარდა დილინგური ფასიანი ქაღალდებიდან, საინვესტიციო ფასიანი ქაღალდებიდან, სავალუტო სახსრების გადაფასებიდან და ქონების გაყიდვიდან მიღებული მოგება/ზარალისა, და გამოკლებული მთლიანი არასაპროცენტო ხარჯები;</t>
  </si>
  <si>
    <t>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</si>
  <si>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(13) 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</si>
  <si>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</si>
  <si>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(14) 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</si>
  <si>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</si>
  <si>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(15) 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</si>
  <si>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მთლიანი სესხები – საბალანსო უწყისით გათვალისწინებული მთლიანი სესხები;</t>
  </si>
  <si>
    <t>სშდრ – საბალანსო უწყისით გათვალისწინებული სესხების შესაძლო დანაკარგების რეზერვი, რომელიც იქმნება ბანკის მიერ სესხების შესაძლო დანაკარგების დასაფარავად, არაიდენტიფიცირებული და იდენტიფიცირებული ზარალისათვის;</t>
  </si>
  <si>
    <t>უმოქმედო სესხები – მთლიანი სესხებიდან ბანკის მიერ არასტანდარტული, საეჭვო და უიმედო კატეგორიად კლასიფიცირებული სესხების ჯამი;</t>
  </si>
  <si>
    <t>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</si>
  <si>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(20) 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</si>
  <si>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ლიკვიდური აქტივები – ეროვნული ბანკის მიერ დადგენილი წესით განსაზღვრული ფულადი სახსრები და ისეთი სახის აქტივები, რომლებსაც აქვთ ფულად სახსრებად მყისიერად (სწრაფად) გადაქცევის უნარი და შესაძლებლობა;</t>
  </si>
  <si>
    <t>მიმდინარე და მოთხოვნამდე დეპოზიტები – საბალანსო უწყისით გათვალისწინებული მიმდინარე ანგარიშებისა და მოთხოვნამდე დეპოზიტების ჯამი;</t>
  </si>
  <si>
    <t>მიმდინარე და მოთხოვნამდე დეპოზიტები – საბალანსო უწყისით გათვალისწინებული მიმდინარე და მოთხოვნამდე დეპოზიტების ჯამი;</t>
  </si>
  <si>
    <t>წმინდა მოგება – ბანკის მოგება-ზარალის უწყისით გათვალისწინებული წმინდა მოგება;</t>
  </si>
  <si>
    <t>განმარტებები გვერდისთვის 2. SOFP, 3. SOPL, ცხრილები 2 და 3</t>
  </si>
  <si>
    <t>ცხრილებში მოთხოვნილი ინფორმაცია მჟღავნდება ფასს-ის მიხედვით</t>
  </si>
  <si>
    <t>განმარტებები გვერდისთვის 4. off-balance, ცხრილი 4</t>
  </si>
  <si>
    <t>1-ელ სტრიქონში უნდა ჩაიწეროს საანგარიშგებო თარიღისთვის არსებული ბანკის მიერ მიღებული "სესხის გაცემის ვალდებულების"  ჯამური ნომინალური ღირებულება</t>
  </si>
  <si>
    <t>1.1 მწკრივში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</si>
  <si>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მე-2 სტრიქონში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</si>
  <si>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1.2 მწკრივში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</si>
  <si>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მე-3 სტრიქონში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3.1 და 2.2 სტრიქონებში უნდა ჩაიწეროს უზრუნველყოფის შესაბამისი ტიპის ჯამური ნომინალური ღირებულება</t>
  </si>
  <si>
    <t>1.3 მწკრივში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</si>
  <si>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მე-4 სტრიქონში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</si>
  <si>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1.4 მწკრივში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მწკრივებში.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</si>
  <si>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მე-5 სტრიქონში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სტრიქონის ჩათვლით შესაბამის ველში</t>
  </si>
  <si>
    <t>მე-5 მწკრივში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მწკრივის ჩათვლით შესაბამის ველში</t>
  </si>
  <si>
    <t>მე-6 სტრიქონში უნდა ჩაიწეროს საანგარიშგებო თარიღისთვის არსებული ბანკის მიერ გაცემული "სესხის გაცემის ვალდებულების"  ჯამური ნომინალური ღირებულება</t>
  </si>
  <si>
    <t>მე-3 მწკრივში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</si>
  <si>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მე-7 სტრიქონში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</si>
  <si>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მე-4 მწკრივში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მწკრივებში უნდა ჩაიწეროს უზრუნველყოფის შესაბამისი ტიპის ჯამური ნომინალური ღირებულება</t>
  </si>
  <si>
    <t>მე-8 სტრიქონში უნდა ჩაიწეროს საანგარიშგებო თარიღისთვის არსებული ბანკის მიერ გაცემული აკრედიტივების ჯამური ნომინალური ღირებულება</t>
  </si>
  <si>
    <t>მე-9 სტრიქონში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პირობითი თანხების(Notional amount) ჯამური ოდენობა ტიპების მიხედვით  უნდა ჩაიწეროს 9.1-დან 9.7 სტრიქონის ჩათვლით შესაბამის ველში</t>
  </si>
  <si>
    <t>მე-6 მწკრივში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მწკრივის ჩათვლით შესაბამის ველში</t>
  </si>
  <si>
    <t>მე-10 სტრიქონში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მისაღები ჯარიმა) ჯამური ოდენობა. ტიპებისა და პერიოდების ჭრილში საკრედიტო მოთხოვნების ჯამი უნდა მიეთითოს 10.1-დან 10.4 სტრიქონის ჩათვლით შესაბამის ველში</t>
  </si>
  <si>
    <t>მე-7 მწკრივში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მისარები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მწკრივის ჩათვლით შესაბამის ველში</t>
  </si>
  <si>
    <t>მე-11 სტრიქონში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</si>
  <si>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5.3.5 , 5.7 , 9.6 და 9.7-ე სტრიქონების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სტრიქონს დაურთოს განმარტებები.</t>
  </si>
  <si>
    <t>განმარტებები გვერდისთვის 5. RWA, ცხრილი 5</t>
  </si>
  <si>
    <r>
      <t>(T)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პერიოდის (კვარტლის) ბოლოს, გაანგარიშებული ბაზელ III-ზე დაფუძნებული ჩარჩოს შესაბამისად. </t>
    </r>
  </si>
  <si>
    <t>(a) რისკის მიხედვით შეწონილი რისკის პოზიციები საანგარიშგებო პერიოდის (კვარტალის) ბოლოს, გაანგარიშებული ბაზელ III-ზე დაფუძნებული ჩარჩოს შესაბამისად. იმ შემთხვევებში, როცა საზედამხედველო ჩარჩო არ განსაზღვრავს რისკის მიხედვით შეწონილ რისკის პოზიციებს და მიემართება პირდაპირ კაპიტალის ხარჯებს, ბანკებმა უნდა მიუთითონ რისკის მიხედვით შეწონილი რისკის პოზიციების გამოთვლილი ოდენობა (კაპიტალის ხარჯი გაყონ 10.5%-ზე)</t>
  </si>
  <si>
    <r>
      <t>(T-1)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კვარტლის წინა კვარტლის ბოლოს.</t>
    </r>
  </si>
  <si>
    <t>(1.1.1) სტრიქონი -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</si>
  <si>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(4) ის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</si>
  <si>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განმარტებები გვერდისთვის 6. Administrators-Shareholders, ცხრილი 6</t>
  </si>
  <si>
    <t>ცხრილის მიზნებისათვის ბანკებმა უნდა იხელმძღვანელონ ბენეფიციარი მესაკუთრის კანონმდებლობით გათვალისწინებული განმარტებით: პირი, რომელიც კანონის ან გარიგების საფუძველზე იღებს ფულად ან სხვა სახის სარგებელს და ამ სარგებლის სხვა პირისთვის გადაცემის ვალდებულება არ გააჩნია</t>
  </si>
  <si>
    <t>განმარტებები გვერდისთვის 7. LI1, ცხრილი 7</t>
  </si>
  <si>
    <t>სტრიქონები:</t>
  </si>
  <si>
    <t>სტრიქონების თანმიმდევრობა მკაცრად მიჰყვება საზედამხედველო ანგარიშგების მიზნებისთვის გამოყენებული სტანდარტიზებული საბალანსო უწყისის ფორმატს.</t>
  </si>
  <si>
    <t>სვეტები:</t>
  </si>
  <si>
    <t xml:space="preserve">(a) სვეტში წარმოდგენილი ინფორმაცია უნდა ემთხვეოდეს SOFP ცხრილში აქტივების საანგარიშგებო პერიოდის ჯამურ საბალანსო ღირებულებებს. </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</si>
  <si>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ოდენობებს. </t>
  </si>
  <si>
    <t>(b) სვეტში წარმოდგენილი უნდა იყოს ელემენტების ოდენობები, რომლებზეც არ ვრცელდება კაპიტალის მოთხოვნა, ან რომლებიც დაქვითულია საზედამხედველო კაპიტალიდან კომერციული ბანკების კაპიტალის ადეკვატურობის მოთხოვნების შესახებ დებულების მე-7 მუხლის მიხედვით. აღნიშნულ სვეტში შევსებული ოდენობები უნდა ედრებოდეს საზედამხედველო კაპიტალის ცხრილში (Capital) ძირითადი პირველადი კაპიტალის, დამატებითი პირველადი კაპიტალის და მეორადი კაპიტალის შესაბამის საზედამხედველო კორექტირებებს (გარდა იმ კორექტირებებისა, რომლებიც არ ეხება აქტივებს).</t>
  </si>
  <si>
    <t>(c) სვეტში წარმოდგენილი უნდა იყოს ელემენტების საბალანსო ღირებულებები,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</si>
  <si>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(c) სვეტში წარმოდგენილი უნდა იყოს ელემენტების ოდენობები,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</si>
  <si>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განმარტებები გვერდისთვის 8. LI2, ცხრილი 8</t>
  </si>
  <si>
    <t>1-ელ სტრიქონში (საკრედიტო რისკის მიხედვით შეწოვას დაქვემდებარებული საბალანსო ელემენტების ჯამური ღირებულება კორექტირებებამდე) წარმოდგენილი ინფორმაცია უნდა ემთხვეოდეს LI 1 ცხრილის "e" სვეტში წარმოდგენილ ჯამურ ოდენობას.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</si>
  <si>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CRME))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</si>
  <si>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CR4))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</si>
  <si>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2.2 სტრიქონი (კონტრაგენტთან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 (ცხრილი CCR)) მოიცავს იმ ელემენტების ნომინალურ ღირებულებას, რომლებიც ექვემდებარება კონტრაგენტთან დაკავშირებული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მე-16 თავის მიხედვით.</t>
  </si>
  <si>
    <t>მე-3 სტრიქონი (საკრედიტო რისკით შეწოვას დაქვემდებარებული საბალანსო და არა-საბალანსო ელემენტების ჯამური ღირებულება კორექტირებებამდე) მოიცავს (1)-დან (2.2)-მდე სტრიქონების ოდენობების ჯამს</t>
  </si>
  <si>
    <t>მე-4 სტრიქონი (კაპიტალის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 მოიცავს საერთო რეზერვთან (და სხვა რეზერვთან) დაკავშირებულ კორექტირებებს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</si>
  <si>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CRME))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</si>
  <si>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CR4))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</si>
  <si>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 xml:space="preserve">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კაპიტალის ადეკვატურობის დებულების 50-ე მუხლის მე-4 პუნქტის მიხედვით </t>
  </si>
  <si>
    <t>მე-6 სტრიქონი (სხვა კორექტირებების ეფექტი (ასეთის არსებობის შემთხვევაში)) მოიცავს ყველა სხვა აუცილებელ კორექტირებას, რაც საჭიროა საზედამხედველო მიზნებისთვის საკრედიტო რისკის მიხედვით შეწონვას დაქვემდებარებული რისკის პოზიციების მიღებისთვის (რაც მითითებულია მე-8 სტრიქონში)</t>
  </si>
  <si>
    <t>განმარტებები გვერდისთვის 9. Capital, ცხრილი 9</t>
  </si>
  <si>
    <t>ცხრილში მოთხოვნილი ინფორმაცია შეესაბამება ბაზელ III-ის ჩარჩოზე დაფუძნებულ კაპიტალის ადეკვატურობის დებულებას.</t>
  </si>
  <si>
    <t>განმარტებები გვერდისთვის 10. CC2, ცხრილი 10</t>
  </si>
  <si>
    <t>ამ ცხრილის მიზანია საბალანსო ელემენტებიდან გამოაჩინოს ის ნაწილები რომლების მონაწილეობას ღებულობენ საზედამხედველო კაპიტალის ფორმირებაში: მისი შემადგენელი კომპონენტების (მაგ. გაუნაწილებელი მოგება, სუბორდინირებული ვალი და ა.შ.) თუ დაქვითვების სახით (მაგ. გუდვილი, ინვესტიციები და ა.შ)</t>
  </si>
  <si>
    <t>მე-2 სვეტში (საბალანსო ღირებულება ინდივიდუალურ ფინანსურ ანგარიშგებებში ფასს-ის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</si>
  <si>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მე-2 სვეტში (საბალანსო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</si>
  <si>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გარკვეულ შემთხვევებში, საჭირო იქნება საბალანსო ელემენტების განვრცობა, რათა მოხდეს იდენტიფიცირება ყველა იმ ელემენტისა, რომელიც მე-9 ცხრილშია (Capital) მოცემული.</t>
  </si>
  <si>
    <r>
      <t>მოცემულ მაგალითში წარმოდგენილია განვრცობის შემთხვევაც: მე-9, მე-10 და 21-ე მუხლების ქვემოთ დამატებულია ამ მუხლების შემადგენელი ნაწილები (9.1, 9.2, 9.3, 10.1 და 21.1), რომლებიც მონაწილეობას იღებს საზედამხედველო კაპიტალის გამოანგარიშებაში (Capital-ის ცხრილში).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r>
    <r>
      <rPr>
        <sz val="8"/>
        <color rgb="FFFF0000"/>
        <rFont val="Sylfaen"/>
        <family val="1"/>
      </rPr>
      <t xml:space="preserve"> თუკი ასეთი გავრცობა ბანკისთვის არ არის რელევანტური, შესაძლებელია აღნიშნული შემადგენელი ნაწილების შესაბამისი სტრიქონების წაშლა. (მაგალითად, თუკი ბანკს არ აქვს მეორად კაპიტალში ჩართული არცერთი სუბორდინირებული ვალდებულება, აღნიშნული ჩაშლის მაგალითი უნდა წაიშალოს, ხოლო თუ დამატებით AT1-ის შემადგენელი სუბორდინირებული ვალდებულება აქვს, მაშინ შესაბამისი სტრიქონი დაამატოს).</t>
    </r>
  </si>
  <si>
    <t>ზემოთ მოცემულ მაგალითში წარმოდგენილია განვრცობის შემთხვევაც.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</si>
  <si>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ცხრილებს შორის კავშირის მითითებისთვის გამოიყენება ველი "კავშირი Capital-ის ცხრილთან", სადაც თითოეული განვრცობილი მუხლის შემთხვევაში უნდა მიეთითოს Capital-ის ცხრილის შესაბამისი მუხლი. მოცემულ მაგალითში 10.1 ჩამატებული მუხლის გასწვრივ Capital-ის ცხრილთან კავშირის ველში მითითებულია კავშირი ("ცხრილი 9 (Capital), N 10"), რაც მიუთითებს, რომ CC2 ცხრილის 10.1 ჩამატებული მუხლი რომელიც არის CC2 ცხრილის მე-10 საბალანსო მუხლის შემადგენელი ნაწილი შეესაბამება Capital-ის ცხრილში არსებულ მე-10 მუხლს, რაც წარმოადგენს არამატერიალური აქტივების დაქვითვას ძირითადი პირველადი კაპიტალიდან.</t>
  </si>
  <si>
    <t>კავშირი ცხრილებს შორის</t>
  </si>
  <si>
    <t>ა) CC2 ცხრილის საბალანსო უწყისის ელემენტების შესაბამისი ოდენობები გავრცობამდე უნდა ემთხვეოდეს SOFP ცხრილის საანგარიშგებო პერიოდის ჯამურ ოდენობებს</t>
  </si>
  <si>
    <t>ა) CC2 ცხრილის საბალანსო უწყისის ელემენტების შესაბამისი ოდენობები გავრცობამდე უნდა ემთხვეოდეს LI 1 ცხრილის (a) სვეტის შესაბამის ოდენობებს</t>
  </si>
  <si>
    <t>ბ) CC2-ში ყოველი დამატებული ელემენტისთვის მინიჭებული უნდა იყოს Capital ცხრილის შესაბამისი ელემენტის მინიშნება</t>
  </si>
  <si>
    <t>გ) CC2 ცხრილის მიზნებისთვის, განვრცობა არ ნიშნავს აუცილებლად ჩაშლას. შესაბამისად, არ არის სავალდებულო, რომ ახალი (განვრცობილი) ელემენტების ჯამი ედრებოდეს შესაბამისი საბალანსო მუხლის შესაბამის ოდენობას.</t>
  </si>
  <si>
    <t>განმარტებები გვერდისთვის "11. CRWA", ცხრილი 11</t>
  </si>
  <si>
    <t xml:space="preserve">ცხრილის A-P სვეტებში უნდა ჩაიწეროს რისკის პოზიციების ღირებულება შესაბამის რისკის წონაზე გადამრავლებამდე. გარესაბალანსო ელემენტებისთვის რისკის პოზიციის ღირებულება წარმოადგენს ნომინალური ღირებულების კრედიტ კონვერსიის ფაქტორზე ნამრავლს. </t>
  </si>
  <si>
    <t>Q სვეტში "საკრედიტო რისკის მიხედვით შეწონილი რისკის პოზიციები საკრედიტო რისკის მიტიგაციამდე" ჯამდება შესაბამის რისკის წონებზე გამრავლებული საბალანსო და გარესაბალანსო რისკის პოზიციები;</t>
  </si>
  <si>
    <t>განმარტებები გვერდისთვის "12. CRM", ცხრილი 12</t>
  </si>
  <si>
    <t>C-S სვეტებში (ექსელის ნუმერაციით) ჯამურად უნდა აისახოს როგორც საბალანსო, ისევე გარესაბალანსო ელემენტების საკრედიტო რისკის მიტიგაცია</t>
  </si>
  <si>
    <t>E სვეტი მოიცავს:
ცენტრალური მთავრობებისა და ცენტრალური ბანკების მიერ გამოშვებული სავალო ფასიანი ქაღალდები, რომლის საკრედიტო ხარისხი სებ–ის მიერ დადგენილი ცენტრალური მთავრობებისა და ცენტრალური ბანკების მიმართ რისკის პოზიციების შეწონვის წესით შეესაბამება მე–4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რომლებიც შეიწონება იმ ცენტრალური მთავრობის მიმართ რისკის პოზიციების ანალოგიურად, რომლის იურისდიქციაშიც ისინი დაარსდნენ; 
საჯარო დაწესებულებების მიერ გამოშვებული სავალო ფასიანი ქაღალდები, რომლებიც შეიწონება ცენტრალური მთავრობის მიმართ რისკის პოზიციების ანალოგიურად;
მრავალმხრივი განვითარების ბანკების მიერ გამოშვებული სავალო ფასიანი ქაღალდები, რომელთაც ენიჭებათ 0% რისკის წონა;
საერთაშორისო ორგანიზაციების მიერ გამოშვებული სავალო ფასიანი ქაღალდები, რომელთაც ენიჭებათ 0% რისკის წონა.</t>
  </si>
  <si>
    <t>F სვეტი მოიცავს:
კომერციული ბანკების მიერ გამოშვებული სავალო ფასიანი ქაღალდები, რომლის საკრედიტო ხარისხი სებ–ის მიერ დადგენილი კომერციული ბანკების მიმართ რისკის პოზიციების შეწონვის წესით შეესაბამება მე-3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გარდა იმ ფასიანი ქაღალდებისა, რომლებიც განიხილება იმ ცენტრალური მთავრობის მიმართ რისკის პოზიციად, რომლის იურისდიქციაშიც ისინი დაარსდნენ;
მრავალმხრივი განვითარების ბანკების მიერ გამოშვებული სავალო ფასიანი ქაღალდები გარდა იმ ფასიანი ქაღალდებისა, რომელთაც ენიჭებათ 0% რისკის წონა</t>
  </si>
  <si>
    <t>T სვეტში (ექსელის ნუმერაციით) უნდა ჩაიწეროს ჯამურად საბალანსო ელემენტების საკრედიტო რისკის მიტიგაცია</t>
  </si>
  <si>
    <t>U სვეტში (ექსელის ნუმერაციით) უნდა ჩაიწეროს ჯამურად გარესაბალანსო ელემენტების საკრედიტო რისკის მიტიგაცია</t>
  </si>
  <si>
    <t>V სვეტში (ექსელის ნუმერაციით) უნდა ჩაიწეროს ჯამურად  საკრედიტო რისკის მიტიგაცია როგორც საბალანსო, ისევე გარესაბალანსო ელემენტებისთვის</t>
  </si>
  <si>
    <t>განმარტებები გვერდისთვის "13. CRME", ცხრილი 13</t>
  </si>
  <si>
    <t>ცხრილის A სვეტში აისახება საბალანსო ელემენტების რისკის პოზიციების ღირებულება, შესაბამისი კორექტირებების გათვალისწინებით, საკრედიტო რისკის მიხედვით შეწონვამდე;</t>
  </si>
  <si>
    <t>ცხრილის B სვეტში აისახება გარესაბალანსო ელემენტების ნომინალური ღირებულება, კრედიტ კონვერსიის ფაქტორზე გადამრავლებამდე;</t>
  </si>
  <si>
    <t>ცხრილის C სვეტში აისახება გარესაბალანსო ელემენტების რისკის პოზიციის ღირებულება, კრედიტ კონვერსიის ფაქტორზე გამრავლების შემდეგ, საკრედიტო რისკის მიხედვით შეწონვამდე;</t>
  </si>
  <si>
    <r>
      <t>ცხრილის D სვეტში აისახება საკრედიტო რისკის მიხედვით შეწონილი რისკის პოზიციები საკრედიტო რისკის მიტიგაციამდე, როგორც საბალანსო ისევე გარესაბალანსო (</t>
    </r>
    <r>
      <rPr>
        <b/>
        <i/>
        <u/>
        <sz val="8"/>
        <rFont val="Sylfaen"/>
        <family val="1"/>
      </rPr>
      <t>აღარ</t>
    </r>
    <r>
      <rPr>
        <b/>
        <sz val="8"/>
        <rFont val="Sylfaen"/>
        <family val="1"/>
      </rPr>
      <t xml:space="preserve"> </t>
    </r>
    <r>
      <rPr>
        <sz val="8"/>
        <rFont val="Sylfaen"/>
        <family val="1"/>
      </rPr>
      <t>ემატება სავალუტო კურსის ცვლილებით გამოწვეული საკრედიტო რისკის მიხედვით შეწონილი რისკის პოზიციები)</t>
    </r>
  </si>
  <si>
    <r>
      <t>ცხრილის E სვეტში აისახება საკრედიტო რისკის მიხედვით შეწონილი რისკის პოზიციები საკრედიტო რისკის მიტიგაციის გათვალისწინებით, როგორც საბალანსო ისევე გარესაბალანსო (</t>
    </r>
    <r>
      <rPr>
        <b/>
        <i/>
        <u/>
        <sz val="8"/>
        <rFont val="Sylfaen"/>
        <family val="1"/>
      </rPr>
      <t>აღარ</t>
    </r>
    <r>
      <rPr>
        <sz val="8"/>
        <rFont val="Sylfaen"/>
        <family val="1"/>
      </rPr>
      <t xml:space="preserve"> ემატება სავალუტო კურსის ცვლილებით გამოწვეული საკრედიტო რისკის მიხედვით შეწონილი რისკის პოზიციები</t>
    </r>
  </si>
  <si>
    <t>ცხრილის F სვეტში გამოითვლება რისკის მიხედვით შეწონილი აქტივების სიმკვრივე ფორმულით:  F=E(A+C). სიმკვრივე უნდა გამოისახოს პროცენტულად</t>
  </si>
  <si>
    <t>განმარტებები გვერდისათვის " .LCR", ცხრილი 14</t>
  </si>
  <si>
    <t>სვეტები</t>
  </si>
  <si>
    <t>ფიზიკური პირების დეპოზიტები რომელიც LCR-ის მიზნებისთვის შედის არაუზრუნველყოფილი დაფინანსების ჯგუფში A.1</t>
  </si>
  <si>
    <t>არაუზრუნველყოფილი დაფინანსება (A.1) გარდა ფიზიკური პირების დეპოზიტებისა</t>
  </si>
  <si>
    <t>LCR მიზნებისთვის არსებული უზრუნველყოფილი დაფინანსება (A.2)</t>
  </si>
  <si>
    <t>LCR მიზნებისთვის არსებული ბალანსგარეშე ვალდებულებებისა (A4) და სხვა გადინებაში (A3) შემავალი წარმოებული ფინანსური ინსტრუმენტების წმინდა მოკლე პოზიციის ჯამი</t>
  </si>
  <si>
    <t>სხვა საკონტრაქტო გადინება, რომელიც დაკავშირებულია დამტკიცებული გაცემული სესხების ათვისებასთან 30 დღიან პერიოდში და არ შედის ზემოაღნიშნულ კატეგორიებში</t>
  </si>
  <si>
    <t>სხვა გადინება გარდა ზემოაღნიშნულ კატეგორიებში შემავალი მუხლებისა</t>
  </si>
  <si>
    <t>LCR-ის მიზნებისთვის ფულის სხვა შემოდინებას (B.3) დამატებული "ბალანსგარეშე ვალდებულებები, შემოდინების ნაწილი" (B.4)</t>
  </si>
  <si>
    <t>განმარტებები გვერდისთვის 15. CCR, ცხრილი 15</t>
  </si>
  <si>
    <t>განმარტებები გვერდისთვის 16. NSFR ცხრილი 16</t>
  </si>
  <si>
    <t>ცხრილი ივსება სებ-ის მიერ შემუშავებული წმინდა სტაბილური კოეფიციენტის მეთოდოლოგიაზე დაყრდნობით, კვარტლის ბოლო დღის მდგომარეობით.</t>
  </si>
  <si>
    <t>ცხრილის C-F სვეტებში აისახება მოცემული მუხლების შესაბამისი შეუწონავი ღირებულებები. თითოეული მუხლი ნაწილდება ნარჩენი ვადიანობის მიხედვით შესაბამის კალათაში. თავისუფალი მაღალი ხარისხის ლიკვიდური აქტივები სრულად დაკლასიფიცირდება უვადო კალათაში.</t>
  </si>
  <si>
    <t>ცხრილის G სვეტში აისახება ღირებულებები, რომლებიც შეწონილია სებ-ის სტანდარტული NSFR ფორმის შესაბამისი ხელმისაწვდომი სტაბილური დაფინანსებისა და სტაბილური დაფინანსების საჭიროების კოეფიციენტებით.</t>
  </si>
  <si>
    <t>განმარტებები გვერდებისთვის  "17-26"</t>
  </si>
  <si>
    <t xml:space="preserve">სტრიქონებში რისკის კლასები  მე-17 და მე-18 ცხრილისთვის განიმარტება საქართველოს ეროვნული ბანკის პრეზიდენტის 2013 წლის 28 ოქტომბერის ბრძანება №100/04-ის მე-11 მუხლის რისკის პოზიციების კლასების შესაბამისად
</t>
  </si>
  <si>
    <t>რისკის პოზიცია -  კომერციული ბანკების კაპიტალის ადეკვატურობის მოთხოვნების შესახებ დებულების მე-10 მუხლის, პირველი პუნქტის შესაბამისად
თაობაზე</t>
  </si>
  <si>
    <t>აქტივების წმინდა ღირებულება - აქტივების ღირებულება IFRS 9-ით მოსალოდენლი საკრედიტო ზარალის დაკლების შემდეგ</t>
  </si>
  <si>
    <t>მთლიანი  ღირებულება -  აქტივების ღირებულება IFRS 9-ით მოსალოდენლი საკრედიტო ზარალის დაკლებამდე</t>
  </si>
  <si>
    <t>საკრედიტო რისკის დონე განისაზღვრება IFRS 9-ის შესაბამისად</t>
  </si>
  <si>
    <t>მე- 22 და 25-ე ცხრილებისთვის გარესაბალანსო ვალდებულებები შეივსება ნომინალური ღირებულებით მოსალოდენლი საკრედიტო ზარალის დაკლებამდე</t>
  </si>
  <si>
    <t>მე-19 ცხრილში სესხების/აქტივების განაწილება უნდა მოხდეს დაფარვის წყაროს სექტორის/კონტრაგენტის ტიპის მიხედვით ქვემოთ მოცემულ 9.01-9.27 პუნქტებში. ინვესტიციების შემთხვევაში შესაბამისი კომპანიის საქმიანობის სექტორის მიხედვით.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სესხები/აქტივები და ა.შ. 
მე-24 ცხრილში სესხების განაწილება უნდა მოხდეს დაფარვის წყაროს სექტორის მიხედვით ქვემოთ მოცემულ 9.01-9.26 პუნქტებში.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 და ა.შ.</t>
  </si>
  <si>
    <t>უმოქმედო აქტივი/სესხი</t>
  </si>
  <si>
    <t>IFRS 9-ის კლასიფიკაციის შესაბამისად, მე-3 დონის საკრედიტო რისკის და შეძენილი ან გამოშვებული გაუფასურებული ფინანსური ინსტრუმნეტები (POCI)</t>
  </si>
  <si>
    <t>სახელმწიფო ინსტიტუტები და სახელმწიფოს კონტროლს დაქვემდებარებული საწარმოები და ორგანიზაციები. ამასთან დაფარვის წყარო უნდა იყოს სახელმწიფო ბიუჯეტიდან გამოყოფილი თანხები. მე-19 ცხრილის მიზნებისთვის სახელმწიფო ორგანიზაციების სექტორში მოხვდება აქტივები ცენტრალურ ბანკებში.</t>
  </si>
  <si>
    <t>კომერციული ბანკები, სადაზღვევო, სალიზინგო და საინვესტიციო კომპანიები, საკრედიტო კავშირები, მიკროსაფინანსო ორგანიზაციები, საპენსიო სქემები, ფულადი გზავნილების განმახორციელებელი პირები და  სხვა საფინანსო ორგანიზაციები. გარდა ლომბარდებისა. მე-19 ცხრილის მიზნებისთვის საფინანსო ინსტიტუტების სექტორში მოხვდება აქტივები კომერციულ ბანკებში.</t>
  </si>
  <si>
    <t>საბითუმო ლომბარდი</t>
  </si>
  <si>
    <t>ძვირფასი ლითონებითა და ქვებით უზრუნველყოფილი ლომბარდული ბიზნეს საქმიანობა.</t>
  </si>
  <si>
    <t>საცხოვრებელი და კომერციული უძრავი ქონების დეველოპმენტი (უძრავი ქონების რეალიზაცია ან/და მშენებლობა).</t>
  </si>
  <si>
    <t>უძრავი ქონების გაქირავება და მასთან დაკავშირებული მომსახურების უზრუნველყოფა.</t>
  </si>
  <si>
    <t>სამშენებლო და სარემონტო კომპანიები, გზების, ხიდების, ჰესების, პარკებისა და სარეკრეაციო ზონების, ინფრასტრუქტურული ობიექტების მშენებლობა-განვითარებაში მონაწილე პირები, გარდა უძრავი ქონების დეველოპმენტის სექტორში მოხვედრილი პირებისა.</t>
  </si>
  <si>
    <t>სამშენებლო მასალების მოპოვება, წარმოება ან/და აღნიშნული მასალებით საცალო და საბითუმო ვაჭრობა.</t>
  </si>
  <si>
    <t>დისტრიბუცია, საბითუმო და საცალო ვაჭრობა. მაგალითად, საკვები პროდუქტები, ალკოჰოლური და არაალკოჰოლური სასმელები,  მარცვლეული პროდუქტები, თევზეული, ხორცისა და რძის პროდუქტები, სარეცხი და ჰიგიენური საშუალებები, სხვა სამომხმარებლო საქონელი.</t>
  </si>
  <si>
    <t>სამომხმარებლო საქონლის წარმოება. მაგალითად, საკვები პროდუქტები, ალკოჰოლური და არაალკოჰოლური სასმელები, წისქვილკომბინატები, ხორცისა და რძის პროდუქტები, სარეცხი და ჰიგიენური საშუალებები, სხვა სამომხმარებლო საქონელი.</t>
  </si>
  <si>
    <t>მაგალითად, ავეჯი, ელექტრო ტექნიკა, კომპიუტერული ტექნიკა, ციფრული ტექნიკა და სხვა.</t>
  </si>
  <si>
    <t>საბითუმო და საცალო ვაჭრობა, ექსპორტი და იმპორტი: ფეხსაცმელი, ტანსაცმელი, ტექსტილის ნაწარმი და სხვა.</t>
  </si>
  <si>
    <t>საბითუმო და საცალო ვაჭრობა, ექსპორტი და იმპორტი: სხვა პროდუქცია, რომელიც არ არის წარმოდგენილი ზემოთ აღნიშნულ სექტორებში.</t>
  </si>
  <si>
    <t>სხვა საწარმოები, რომელიც არ არის  წარმოდგენილი ზემოთ აღნიშნულ სექტორებში.</t>
  </si>
  <si>
    <t>სასტუმროების მენეჯმენტი, ტურისტული კომპანიები და სხვა დაკავშირებული მომსახურების უზრუნველყოფა.</t>
  </si>
  <si>
    <t>რესტორნები, ბარები, კაფეები, სწრაფი კვების ობიექტები და სხვა.</t>
  </si>
  <si>
    <t>სამთო–მომპოვებელი საწარმოები (გარდა სამშენებლო მასალისა), მეტალურგია, ქიმიური მრეწველობა, მანქანათმშენებლობა, ჩარხთმშენებლობა და სხვა მძიმე მრეწველობა.</t>
  </si>
  <si>
    <t>ბენზინის დისტრიბუცია, წარმოება, იმპორტი და ექსპორტი.</t>
  </si>
  <si>
    <t>გაზის და ელექტროენერგიის დისტრიბუცია, წარმოება, იმპორტი და ექსპორტი, ასევე ყველა პირი, რომელიც  ჩართულია ენერგეტიკის სექტორში (გარდა - ბენზინგასამართი სადგურების და ბენზინის იმპორტიორებისა).</t>
  </si>
  <si>
    <t>ავტომობილებით ვაჭრობა.</t>
  </si>
  <si>
    <t>საავადმყოფოების, კლინიკების და სხვა სამედიცინო გამაჯანსაღებელი კომპლექსები.</t>
  </si>
  <si>
    <t>აფთიაქები და სააფთიაქო ქსელები, წამლების წარმოება, წამლების დისტრიბუცია.</t>
  </si>
  <si>
    <t>სატელეფონო კომპანიები, ინტერნეტ პროვაიდერები, სატელევიზიო მაუწყებლობა, საკაბელო ტელევიზიები და სხვა.</t>
  </si>
  <si>
    <t>მაგალითად, ავტომობილების შეკეთება და მომსახურება, რეკლამა, ელექტრონული და ბეჭდვითი პრესა, სტამბა, გამომცემლობა, ტრანსპორტი, ლოჯისტიკა, სილამაზის სალონი, სათამაშო და გასართობი ბიზნესი, საბაჟო ტერმინალები, განათლება, საინფორმაციო ცენტრები, საშუამავლო მომსახურება და სხვა.</t>
  </si>
  <si>
    <t>ფერმერები და აგრო სექტორის მომსახურე კომპანიები: მეფრინველეობის ფაბრიკები, მსხვილფეხა და წვრილფეხა საქონლის ფერმები, თევზის რეწვა, მეტყევეობა, მევენახეობა, მარცვლეული კულტურების მოყვანა,  მეფუტკრეობა, ჩაისა და სხვა სუბტროპიკული კულტურების პლანტაციები და სხვა ფერმერული მეურნეობები.</t>
  </si>
  <si>
    <t>ყველა სახის მომსახურება, ვაჭრობა და წარმოება რომელიც არ არის წარმოდგენილი ზემოთ აღნიშნულ სექტორებში, მათ შორის ჯართის ბიზნესი.</t>
  </si>
  <si>
    <t xml:space="preserve">აქტივები/სესხები, რომლებზეც არ არის აღრიცხული დაფარვის წყაროს სექტორი </t>
  </si>
  <si>
    <t>"აქტივები/სესხები, რომლებზეც არ არის აღრიცხული დაფარვის წყაროს სექტორი" მოხვდება ის აქტივები, რომლებსაც გააჩნიათ იდენტიფიცირებადი დაფარვის წყარო, თუმცა ანგარიშგების თარიღისთვის არ არის აღრიცხული შესაბამისი სექტორი.</t>
  </si>
  <si>
    <t>მე-19 ცხრილის მიზნებისთვის "სხვა აქტივებში" მოხვდება აქტივები, რომლებსაც არ აქვთ იდენტიფიცირებადი დაფარვის სექტორი, (მაგალითად ძირითადი საშუალებები, ნაღდი ფული და სხვა მსგავსი მახასიათებლების მქონე აქტივები)</t>
  </si>
  <si>
    <t>განმარტებები გვერდებისთვის  "17"</t>
  </si>
  <si>
    <t>ცხრილში შეივსება შეწონვას დაქვემდებარებული რისკის პოზიციების ღირებულებები ნარჩენი ვადიანობის მიხედვით. გრაფიკიანი რისკის პოზიციების შემთხვევაში, პოზიცია მოხვდება ბოლო შენატანის შესაბამის ინტერვალში.</t>
  </si>
  <si>
    <t>"მოთხოვნამდე"  - სვეტში შეივსება საქართველოს ეროვნულ ბანკში და სხვა ფინანსურ ინსტიტუტებში განთავსებული მიმდინარე ანგარიშები, ერთდღიანი სესხები ან/და განთავსებული დეპოზიტები, სავალდებულო რეზერვები საქართველოს ეროვნულ ბანკში, ფული და მისი ექვივალენტები კომერციულ ბანკში, ნაღდი ფული, ნაღდი ფული სხვა სახით (შეგროვების პროცესში) და სხვა მსგავსი მახასიათებლების მქონე რისკის პოზიციები.</t>
  </si>
  <si>
    <t>"განუსაზღვრელი დაფარვის ვადით" - სვეტში შეივსება რისკის პოზიციები რომელთაც არ აქვთ განსაზღვრული დაფარვის ვადა,  გარდა "მოთხოვნამდე" ველში მითითებული რისკის პოზიციების. მაგ: ძირითადი საშუალებები და  სხვა მსგავსი მახასიათებლების მქონე რისკის პოზიციები.</t>
  </si>
  <si>
    <t>ცხრილი "18 -19"</t>
  </si>
  <si>
    <t>ცხრილებში საბალანსო ელემენტების მთლიანი ღირებულებების, მოსალოდენლი საკრედიტო ზარალის, ზოგადი რეზერვების, პერიოდის მანძილზე კუმულატიური ჩამოწერის და აქტივების წმინდა ღირებულების განაწილება მოხდება რისკის კლასების და დაფარვის წყაროს სექტორის/კონტრაგენტის ტიპის მიხედვით.  სექტორების განმარტებები იხილეთ ზოგადი განმარტებების ცხრილში 9.01-9.27 პუნქტებში.</t>
  </si>
  <si>
    <t>IFRS 9-ის შესაბამისად.</t>
  </si>
  <si>
    <t>თუ ზოგადი რეზერვი არ არის შექმნილი კონკრეტულ კლასში/სექტორში შემავალ აქტივებზე, მისი მითითება მოხდება მხოლოდ ჯამის მაჩვენებელი G21 და G34 უჯრებში, მე-18 და მე-19 ცხრილებში შესაბამისად.</t>
  </si>
  <si>
    <t>ანგარიშგების პერიოდის დასაწყისიდან ჩამოწერილი აქტივების მთლიანი ღირებულება. შეივსება შესაბამის კვარტლის ინფორმაცია.</t>
  </si>
  <si>
    <t>ცხრილი "20"</t>
  </si>
  <si>
    <t>მოსალოდენლი საკრედიტო ზარალი</t>
  </si>
  <si>
    <t>IFRS 9-ის შესაბამისად. უცხოურ ვალუტაში ნომინირებული სესხებისთვის და ფასიანი ქაღალდებისთვის, ნომინალში მოსალოდნელი საკრედიტო ზარალის თანხის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ველში (მე-4 სტრიქონი).</t>
  </si>
  <si>
    <t>ცხრილი "21"</t>
  </si>
  <si>
    <t>შეივსება შესაბამის კვარტლის ინფორმაცია. უცხოურ ვალუტაში ნომინირებული სესხებისთვის, ნომინალში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ველებით (იხილეთ მე-3 და მე-11 სტრიქონები). ერთი სესხის ჭრილში კურსის ეფექტით ცვლილების ველები (3, 11) პერიოდზე შეივსება მხოლოდ ზრდაში ან შემცირებაში.</t>
  </si>
  <si>
    <t>1</t>
  </si>
  <si>
    <t>უმოქმედო სესხების საწყისი ბალანსი</t>
  </si>
  <si>
    <t>უმოქმედოდ კლასიფიცირებული სესხების ზრდა, საკრედიტო რისკის დონის ზრდის შედეგად</t>
  </si>
  <si>
    <t>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</si>
  <si>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4</t>
  </si>
  <si>
    <t>უმოქმედოდ კლასიფიცირებული სესხების შემცირება</t>
  </si>
  <si>
    <t>5</t>
  </si>
  <si>
    <t>უმოქმედოდ კლასიფიცირებული სესხების შემცირება, საკრედიტო რისკის დონის შემცირების შედეგად</t>
  </si>
  <si>
    <t>უმოქმედოდ კლასიფიცირებული სესხების შემცირება, სესხების ნაწილობრივი ან სრული დაფარვის გზით. ასევე გაითვალისწინება რეგულარული შენატანები და წინსწრებით დაფარვები.</t>
  </si>
  <si>
    <t>7</t>
  </si>
  <si>
    <t>უმოქმედოდ კლასიფიცირებული სესხების ჩამოწერის გზით</t>
  </si>
  <si>
    <t>8</t>
  </si>
  <si>
    <t>უმოქმედოდ კლასიფიცირებული სესხების შემცირება, უზრუნველყოფის დასაკუთრების გზით</t>
  </si>
  <si>
    <t>9</t>
  </si>
  <si>
    <t>უმოქმედოდ კლასიფიცირებული სესხების შემცირება, სესხების გაყიდვის გზით</t>
  </si>
  <si>
    <t>10</t>
  </si>
  <si>
    <t>სხვა ბალანსის რეკონსილაციისთვის საჭირო გატარებები</t>
  </si>
  <si>
    <t>11</t>
  </si>
  <si>
    <t>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</si>
  <si>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12</t>
  </si>
  <si>
    <t>უმოქმედო სესხების ბალანსი პერიოდის ბოლოს</t>
  </si>
  <si>
    <r>
      <t xml:space="preserve">უზრუნველყოფის დასაკუთრების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</si>
  <si>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t>აღირიცხება უზრუნველყოფის დასაკუთრების მომენტში მისი მთლიანი ღირებულება.</t>
  </si>
  <si>
    <r>
      <t xml:space="preserve">სესხების გაყიდვის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</si>
  <si>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t>აღირიცხება ფულადი სახსრების წმინდა კუმულატიური ამოღება(შემცირებული სესხის გაყიდვასთან დაკავშირებული ხარჯებით)</t>
  </si>
  <si>
    <r>
      <t>სესხებზე სხვა ცვლილებების გზით უმოქმედოდ კლასიფიცირებული სესხების შემცირებასთან დაკავშირებული</t>
    </r>
    <r>
      <rPr>
        <u/>
        <sz val="8"/>
        <rFont val="Sylfaen"/>
        <family val="1"/>
      </rPr>
      <t xml:space="preserve"> წმინდა კუმულატიური ამოღება</t>
    </r>
  </si>
  <si>
    <t>აღირიცხება ფულადი სახსრების წმინდა კუმულატიური ამოღება(შემცირებული სხვა ცვლილებებთან დაკავშირებული ხარჯებით), ასეთის არსებობის შემთხვევაში.</t>
  </si>
  <si>
    <t>ცხრილი "22"</t>
  </si>
  <si>
    <t xml:space="preserve">შეივსება სესხების, სავალო ფასიანი ქაღალდების მთლიანი ღირებულება, გარესაბალანსო ვალდებულებებისთვის ნომინალური ღირებულება მოსალოდენლი საკრედიტო ზარალის დაკლებამდე, განაწილებული ბანკის IFRS 9-ს საკრედიტო რისკის დონის, ვადაგადაცილების და მსესხებლის ტიპის მიხედვით. "ვადაგადაცილება ≤ 30 დღეზე" ინტერვალში არ მოხვდება არავადაგადაცილებული სესხები და ფასიანი ქაღალდები. </t>
  </si>
  <si>
    <t>მთავრობები</t>
  </si>
  <si>
    <t>ცენტრალური მთავრობები, სახელმწიფო ან რეგიონული მთავრობები და ადგილობრივი მთავრობები, ადმინისტრაციული ორგანოებისა და სამთავრობო არაკომერციული საწარმოების ჩათვლით. სოციალური დაზღვევის ფონდები; საერთაშორისო ორგანიზაციები, როგორიცაა ევროკავშირი, IMF, BIS (Bank for International Settlements).</t>
  </si>
  <si>
    <t>ბანკები და მრავალმხრივი ბანკები.</t>
  </si>
  <si>
    <t xml:space="preserve">ყველა საფინანსო კორპორაცია და კვაზი კორპორაცია, როგორიცაა საინვესტიციო ფირმები, საინვესტიციო ფონდები, სადაზღვევო კომპანიები, საპენსიო ფონდები, კოლექტიური საინვესტიციო კომპანიები, კლირინგ ცენტრები და დარჩენილი ფინანსური შუამავლები. გარდა საკრედიტო ინსტიტუტებისა. </t>
  </si>
  <si>
    <t>კორპორაციები, კვაზი კორპორაციები და ყველა იურიდიული პირი, რომლებიც არ არიან ფინანსურ შუამავლები, თუმცა ჩართულები არიან კომერციული საქონლის წარმოებაში და არაფინანსურ მომსახურებაში.</t>
  </si>
  <si>
    <t>ფიზიკური პირები ან პირთა ჯგუფები, როგორც  საქონლისა და არაფინანსური მომსახურების მწარმოებლები და მომხმარებლები, მხოლოდ საკუთარი საბოლოო მოხმარებისთვის, და როგორც კომერციული საქონლისა და არაფინანსური და ფინანსური მომსახურების მწარმოებლები, იმ პირობით, რომ მათი საქმიანობა არ არის კვაზი კორპორაციების საქმიანობა. არაკომერციული ინსტიტუტები, რომლებიც ემსახურებიან შინამეურნეობებს, და რომლებიც ძირითადად ჩართულნი არიან არაკომერციული საქონლის წარმოებაში და  მომსახურების მიწოდებაში, ცალკეული შინამეურნეობების  ჯგუფებისთვის.</t>
  </si>
  <si>
    <t>ცხრილი "23"</t>
  </si>
  <si>
    <t>სესხების მთლიანი ღირებულება, უზრუნველყოფის კოეფიციენტის მიხედვით განაწილებული სესხების მთლიანი ღირებულების,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მთლიანი ღირებულების განაწილება ბანკის IFRS 9-ს საკრედიტო რისკის დონისა და ვადაგადაცილებების მიხედვით. "ვადაგადაცილება ≤ 30 დღეზე" ინტერვალში არ მოხვდება არავადაგადაცილებული სესხები. უზრუნველყოფის ღირებულებად მოიაზრება მისი საბაზრო ღირებულება.</t>
  </si>
  <si>
    <t>სესხი რომელიც უზრუნველყოფილია სახელმწიფო ან საფინანსო ინსტიტუტების გარანტიით, უძრავი ან მოძრავი ქონებით. სესხი ჩაითვლება უზრუნველყოფილად მიუხედავად უზრუნველყოფის მოცულობისა.</t>
  </si>
  <si>
    <t>სესხი რომელიც უზრუნველყოფილია უძრავი ქონებით. სესხი ჩაითვლება უზრუნველყოფილად მიუხედავად უზრუნველყოფის მოცულობისა.</t>
  </si>
  <si>
    <t>სესხების განაწილება სესხის უზრუნველყოფის კოეფიციენტის მიხედვით, ანგარიშგების თარიღის მდგომარეობით. უზრუნველყოფაში გაითვალისწინება მხოლოდ უძრავი ქონება. უზრუნველყოფის ღირებულებად მოიაზრება მისი საბაზრო ღირებულება. LTV დაანგარიშებისას გათვალისწინება ამორტიზებული ღირებულება.</t>
  </si>
  <si>
    <t>1.1 ველში შემავალი უზრუნველყოფილი სესხების მოსალოდნელი საკრედიტო ზარალი IFRS 9-ის შესაბამისად</t>
  </si>
  <si>
    <t xml:space="preserve">მინიმუმი სესხზე დაგირავებული უძრავი და მოძრავი ქონების საბაზრო ღირებულებასა და სესხის მთლიან ღირებულებას შორის. </t>
  </si>
  <si>
    <t xml:space="preserve">მინიმუმი სესხზე დაგირავებული უძრავი ქონების საბაზრო ღირებულებასა და სესხის მთლიან ღირებულებას შორის. </t>
  </si>
  <si>
    <t>დაგირავებული უძრავი და მოძრავი ქონების საბაზრო ღირებულება, შესაბამისი სესხის მთლიანი ღირებულების ზემოთ.</t>
  </si>
  <si>
    <t>დაგირავებული უძრავი ქონების საბაზრო ღირებულება, შესაბამისი სესხის მთლიანი ღირებულების ზემოთ.</t>
  </si>
  <si>
    <t xml:space="preserve">მინიმუმი გარანტიის საბაზრო ღირებულებასა და სესხის მთლიან ღირებულებას შორის. </t>
  </si>
  <si>
    <t>ცხრილი "24"</t>
  </si>
  <si>
    <t>სესხების და მათი მოსლაოდნელი საკრედიტო ზარალის  განაწილება მათი კლასიფიკაციის და დაფარვის წყაროს მიხედვით. სექტორების განმარტებები იხილეთ ზოგადი განმარტებების ცხრილში 9.01-9.26 პუნქტებში. სესხების კლასიფიკაცია მოხდება ბანკის IFRS 9-ის საკრედიტო რისკის დონეების შესაბამისად.</t>
  </si>
  <si>
    <t>ცხრილი "25"</t>
  </si>
  <si>
    <t>სესხები და კორპორატიული სავალო ფასიანი ქაღალდების მთლიანი ღირებულება, გარესაბალანსო ვალდებულებების ნომინალური ღირებულება მოსალოდენლი საკრედიტო ზარალის დაკლებამდე, განაწილებული უზრუნველყოფის მიხედვით. ორი ან მეტი უზრუნველყოფის შემთხვევაში აქტივის ერთი ნაწილი გადანაწილდება უფრო მაღალი ლიკვიდობის მქონე უზრუნველყოფის სვეტში, მაქსიმუმ უზრუნველყოფის მოცულობით, ხოლო დარჩენილი ნაწილი დაბალი ლიკვიდობის უზრუნველყოფის სვეტში მაქსიმუმ ამ უზრუნველყოფის მოცულობით და ა.შ. ლიკვიდურობის მიხედვით განაწილება მოხდება, ყველაზე მეტად ლიკვიდური ა-დან არაუზრუნველყოფილ ნაწილამდე ი-მდე. უზრუნველყოფის ღირებულებად მოიაზრება მისი საბაზრო ღირებულება.</t>
  </si>
  <si>
    <t>ცხრილი "26"</t>
  </si>
  <si>
    <t>სატრანსპორტო საშუალების შეძენის მიზნობრიობით გაცემული, სატრანსპორტო საშუალებით უზრუნველყოფილი სესხები. სატრანსპორტო საშუალებით უზრუნველყოფილი სამომხმარებლო მიზნობრიობით გაცემული სესხები აღირიცხება სამომხმარებლო სესხების ველში.</t>
  </si>
  <si>
    <t>სამომხმარებლო მიზნობრიობით გაცემული სესხები.</t>
  </si>
  <si>
    <t xml:space="preserve">გადამხდელუნარიანობის ანალიზის გარეშე გაცემული მცირე ზომის, მაღალპროცენტიანი არაუზრუნველყოფილი სამომხმარებლო სესხი, რომელზეც ხშირად კლიენტი პროცენტის ნაცვლად ყოველთვიურად იხდის ფიქსირებულ საკომისიოს.  </t>
  </si>
  <si>
    <t>საყოფაცხოვრებო ნივთების, ტექნიკისა და მომსახურების განვადებით შეძენის მიზნობრიობით გაცემული სესხები.</t>
  </si>
  <si>
    <t>სადებეტო ანგარიშზე არსებული სანქცირებული უარყოფითი ლიმიტი, რომელიც განისაზღვრება კლიენტის შემოსავლის მიხედვით, მათ შორის, არასანქცირებული უარყოფითი ლიმიტებიც.</t>
  </si>
  <si>
    <t>ბარათზე დაშვებული რევოლვირებადი საკრედიტო ლიმიტი, მათ შორის საკრედიტო ბარათებზე არსებული არასანქცირებული უარყოფითი ლიმიტებიც.</t>
  </si>
  <si>
    <t>უძრავი ქონების შეძენა/მშენებლობა/რემონტის მიზნობრიობით გაცემული უძრავი ქონებით/ფულადი სახსრებით/თავდებობით/სხვა ქონებით უზრუნველყოფილი სესხები, რომელზეც ბანკის მხრიდან ხდება მიზნობრიობის კონტროლი.</t>
  </si>
  <si>
    <t xml:space="preserve">დასრულებული უძრავი ქონების და მიწის შეძენის მიზნობრიობით გაცემული სესხები. </t>
  </si>
  <si>
    <t>მშენებლობის პროცესში მყოფი უძრავი ქონების შეძენის ან მშენებლობის მიზნობრიობით გაცემული სესხები.</t>
  </si>
  <si>
    <t>რემონტის მიზნობრიობით გაცემული უძრავი ქონებით უზრუნველყოფილი სესხები.</t>
  </si>
  <si>
    <t>ძვირფასი ლითონებითა და ქვებით უზრუნველყოფილი სამომხმარებლო მიზნობრიობით გაცემული ლომბარდული სესხების პორტფელი.</t>
  </si>
  <si>
    <t>სესხი, რომლის მიზნობრიობას წარმოადგენს უმაღლესი და პროფესიული განათლების გადასახადის დაფინანსება.</t>
  </si>
  <si>
    <t>პენსიის ან სხვა სახელმწიფო სოციალური გასაცემელის გათვალისწინებით გაცემული სესხები</t>
  </si>
  <si>
    <t>საკრედიტო პროდუქტი, რომლის დაფარვის ძირითადი წყარო არის სახელმწიფო პენსია ან სხვა სახელმწიფო სოციალური გასაცემელი.</t>
  </si>
  <si>
    <t>სესხების მიმდინარე საკონტრაქტო ძირი თანხა</t>
  </si>
  <si>
    <t>სესხების მთლიანი ღირებულება მოსალოდენლი საკრედიტო ზარალის დაკლებამდე.</t>
  </si>
  <si>
    <t>მოსალოდნელი საკრედიტო ზარალი IFRS 9-ის შესაბამისად</t>
  </si>
  <si>
    <t>პორტფელში არსებული სესხების რაოდენობა. რაოდენობაში არ გაითვლაისწინება სესხები 0 ნაშთით.</t>
  </si>
  <si>
    <t>კვარტლის შიგნით გაცემული სესხების ძირი თანხის მიხედვით დათვლილი საშუალო შეწონილი ნომინალური საპროცენტო განაკვეთი.</t>
  </si>
  <si>
    <t>კვარტლის შიგნით გაცემული სესხების ძირი თანხის მიხედვით დათვლილი საშუალო შეწონილი ეფექტური საპროცენტო განაკვეთი. თუ სესხზე დაიანგარიშება ერთზე მეტი ეფექტური საპროცენტო განაკვეთი, უნდა მოხდეს მათ შორის მაქსიმალურის გათვალისწინება. ამასთან, არ გაითვალისწინება ვალუტის გაუფასურების გათვალისწინებით დათვლილი ეფექტური საპროცენტო განაკვეთი.</t>
  </si>
  <si>
    <t>საშუალო შეწონილი ნომინალური საპროცენტო განაკვეთი (მთლიანი ღირებულებაზე)</t>
  </si>
  <si>
    <t>სესხის ძირი თანხის მიხედვით დათვლილი საშუალო შეწონილი ნომინალური საპროცენტო განაკვეთი.</t>
  </si>
  <si>
    <t>სესხების საშუალო შეწონილი ვადიანობა დარჩენილი ვადის მიხედვით (თვეებში)</t>
  </si>
  <si>
    <t>სესხების სასესხო ხელშეკრულებაში მითითებული ვადის ბოლომდე დარჩენილი თვეების რაოდენობა (ძირი თანხის მიხედვით საშუალო შეწონილი). აღნიშნულ ველში არ შედის ინფორმაცია იმ სესხებზე, რომელთა საბოლოო საკონტრაქტო დაფარვის ვადა გასულია ანგარიშგების თარიღისათვის.</t>
  </si>
  <si>
    <t>1Q-2023</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</si>
  <si>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</si>
  <si>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</si>
  <si>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</si>
  <si>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</si>
  <si>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</si>
  <si>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</si>
  <si>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</si>
  <si>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</si>
  <si>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საბალანსო უწყისი</t>
  </si>
  <si>
    <t xml:space="preserve">ბალანსგარეშე ანგარიშების უწყისი </t>
  </si>
  <si>
    <t>9.1</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</si>
  <si>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</si>
  <si>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</si>
  <si>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</si>
  <si>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</si>
  <si>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</si>
  <si>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</si>
  <si>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</si>
  <si>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</si>
  <si>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</si>
  <si>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</si>
  <si>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</si>
  <si>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</si>
  <si>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www.silkbank.ge</t>
  </si>
  <si>
    <t>ი. მანაგაძე</t>
  </si>
  <si>
    <t>ა. ხოროშვილი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</si>
</sst>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yy;@"/>
    <numFmt numFmtId="165" formatCode="#,##0_ ;[Red]\-#,##0\ "/>
    <numFmt numFmtId="166" formatCode="0.0%"/>
    <numFmt numFmtId="167" formatCode="_(* #,##0_);_(* \(#,##0\);_(* &quot;-&quot;??_);_(@_)"/>
    <numFmt numFmtId="168" formatCode="_(* #,##0.0_);_(* \(#,##0.0\);_(* &quot;-&quot;??_);_(@_)"/>
    <numFmt numFmtId="170" formatCode="_(#,##0_);_(\(#,##0\);_(\ \-\ _);_(@_)"/>
    <numFmt numFmtId="171" formatCode="0.000"/>
    <numFmt numFmtId="172" formatCode="_-* #,##0.00_-;\-* #,##0.00_-;_-* &quot;-&quot;??_-;_-@_-"/>
  </numFmts>
  <fonts count="7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name val="Sylfaen"/>
      <family val="1"/>
    </font>
    <font>
      <sz val="10"/>
      <name val="Calibri"/>
      <family val="2"/>
      <scheme val="minor"/>
    </font>
    <font>
      <sz val="10"/>
      <color theme="1"/>
      <name val="Calibri"/>
      <family val="2"/>
      <scheme val="minor"/>
    </font>
    <font>
      <b/>
      <sz val="10"/>
      <name val="Sylfaen"/>
      <family val="1"/>
    </font>
    <font>
      <b/>
      <sz val="10"/>
      <name val="Calibri"/>
      <family val="2"/>
      <scheme val="minor"/>
    </font>
    <font>
      <b/>
      <i/>
      <sz val="10"/>
      <color theme="1"/>
      <name val="Calibri"/>
      <family val="2"/>
      <scheme val="minor"/>
    </font>
    <font>
      <b/>
      <i/>
      <sz val="11"/>
      <color theme="1"/>
      <name val="Calibri"/>
      <family val="2"/>
      <scheme val="minor"/>
    </font>
    <font>
      <sz val="10"/>
      <name val="MS Sans Serif"/>
      <family val="2"/>
    </font>
    <font>
      <b/>
      <i/>
      <sz val="10"/>
      <name val="Calibri"/>
      <family val="2"/>
      <scheme val="minor"/>
    </font>
    <font>
      <sz val="10"/>
      <color rgb="FF333333"/>
      <name val="Sylfaen"/>
      <family val="1"/>
    </font>
    <font>
      <b/>
      <sz val="12"/>
      <color theme="1"/>
      <name val="Calibri"/>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z val="10"/>
      <name val="Geo_Arial"/>
      <family val="2"/>
    </font>
    <font>
      <sz val="11"/>
      <name val="Calibri"/>
      <family val="2"/>
      <scheme val="minor"/>
    </font>
    <font>
      <b/>
      <sz val="10"/>
      <color theme="1"/>
      <name val="Calibri"/>
      <family val="2"/>
      <scheme val="minor"/>
    </font>
    <font>
      <i/>
      <sz val="11"/>
      <color theme="1"/>
      <name val="Calibri"/>
      <family val="2"/>
      <scheme val="minor"/>
    </font>
    <font>
      <sz val="11"/>
      <color indexed="8"/>
      <name val="Calibri"/>
      <family val="2"/>
    </font>
    <font>
      <sz val="10"/>
      <name val="Arial"/>
      <family val="2"/>
      <charset val="204"/>
    </font>
    <font>
      <sz val="11"/>
      <name val="Calibri"/>
      <family val="2"/>
      <charset val="204"/>
      <scheme val="minor"/>
    </font>
    <font>
      <i/>
      <sz val="11"/>
      <name val="Calibri"/>
      <family val="2"/>
      <scheme val="minor"/>
    </font>
    <font>
      <i/>
      <sz val="11"/>
      <name val="Calibri"/>
      <family val="2"/>
      <charset val="204"/>
      <scheme val="minor"/>
    </font>
    <font>
      <sz val="8"/>
      <color theme="1"/>
      <name val="Calibri"/>
      <family val="2"/>
      <scheme val="minor"/>
    </font>
    <font>
      <i/>
      <sz val="10"/>
      <name val="Sylfaen"/>
      <family val="1"/>
    </font>
    <font>
      <sz val="10"/>
      <color theme="1"/>
      <name val="Segoe UI"/>
      <family val="2"/>
    </font>
    <font>
      <sz val="10"/>
      <color theme="1"/>
      <name val="Times New Roman"/>
      <family val="1"/>
    </font>
    <font>
      <sz val="8"/>
      <color rgb="FFFF0000"/>
      <name val="Calibri"/>
      <family val="2"/>
      <scheme val="minor"/>
    </font>
    <font>
      <sz val="10"/>
      <color rgb="FFFF0000"/>
      <name val="Sylfaen"/>
      <family val="1"/>
    </font>
    <font>
      <sz val="10"/>
      <color rgb="FFFF0000"/>
      <name val="Calibri"/>
      <family val="2"/>
      <scheme val="minor"/>
    </font>
    <font>
      <sz val="10"/>
      <color theme="1"/>
      <name val="Sylfaen"/>
      <family val="1"/>
    </font>
    <font>
      <b/>
      <sz val="10"/>
      <color rgb="FFFF0000"/>
      <name val="Calibri"/>
      <family val="2"/>
      <scheme val="minor"/>
    </font>
    <font>
      <sz val="10"/>
      <color theme="1"/>
      <name val="Calibri"/>
      <family val="1"/>
      <scheme val="minor"/>
    </font>
    <font>
      <b/>
      <sz val="10"/>
      <name val="Calibri"/>
      <family val="1"/>
      <scheme val="minor"/>
    </font>
    <font>
      <sz val="10"/>
      <name val="Calibri"/>
      <family val="1"/>
      <scheme val="minor"/>
    </font>
    <font>
      <b/>
      <sz val="10"/>
      <color theme="1"/>
      <name val="Sylfaen"/>
      <family val="1"/>
    </font>
    <font>
      <i/>
      <sz val="10"/>
      <color theme="1"/>
      <name val="Sylfaen"/>
      <family val="1"/>
    </font>
    <font>
      <b/>
      <i/>
      <sz val="10"/>
      <color theme="1"/>
      <name val="Sylfaen"/>
      <family val="1"/>
    </font>
    <font>
      <sz val="10"/>
      <name val="SPKolheti"/>
      <family val="1"/>
    </font>
    <font>
      <sz val="9"/>
      <color theme="1"/>
      <name val="Calibri"/>
      <family val="2"/>
      <scheme val="minor"/>
    </font>
    <font>
      <i/>
      <sz val="10"/>
      <color theme="1"/>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10"/>
      <color indexed="10"/>
      <name val="Arial"/>
      <family val="2"/>
    </font>
    <font>
      <sz val="8"/>
      <name val="Arial"/>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sz val="9"/>
      <color rgb="FFFF0000"/>
      <name val="Sylfaen"/>
      <family val="1"/>
    </font>
    <font>
      <i/>
      <sz val="9"/>
      <name val="Calibri"/>
      <family val="1"/>
      <scheme val="minor"/>
    </font>
    <font>
      <b/>
      <sz val="9"/>
      <name val="Calibri"/>
      <family val="1"/>
      <scheme val="minor"/>
    </font>
    <font>
      <b/>
      <sz val="9"/>
      <color rgb="FFFF0000"/>
      <name val="Sylfaen"/>
      <family val="1"/>
    </font>
    <font>
      <b/>
      <u/>
      <sz val="9"/>
      <color theme="1"/>
      <name val="Sylfaen"/>
      <family val="1"/>
    </font>
    <font>
      <sz val="9"/>
      <color theme="1"/>
      <name val="Calibri"/>
      <family val="1"/>
      <scheme val="minor"/>
    </font>
    <font>
      <b/>
      <sz val="8"/>
      <name val="Sylfaen"/>
      <family val="1"/>
    </font>
    <font>
      <sz val="9"/>
      <color rgb="FFFF0000"/>
      <name val="Calibri"/>
      <family val="1"/>
      <scheme val="minor"/>
    </font>
    <font>
      <sz val="8"/>
      <name val="Sylfaen"/>
      <family val="1"/>
    </font>
    <font>
      <sz val="8"/>
      <color rgb="FFFF0000"/>
      <name val="Sylfaen"/>
      <family val="1"/>
    </font>
    <font>
      <b/>
      <i/>
      <u/>
      <sz val="8"/>
      <name val="Sylfaen"/>
      <family val="1"/>
    </font>
    <font>
      <u/>
      <sz val="8"/>
      <name val="Sylfaen"/>
      <family val="1"/>
    </font>
    <font>
      <sz val="9"/>
      <color rgb="FF000000"/>
      <name val="Sylfaen"/>
      <family val="1"/>
    </font>
    <font>
      <u/>
      <sz val="11"/>
      <color theme="10"/>
      <name val="Calibri"/>
      <family val="2"/>
      <scheme val="minor"/>
    </font>
    <font>
      <b/>
      <sz val="11"/>
      <name val="Sylfaen"/>
      <family val="1"/>
    </font>
    <font>
      <sz val="11"/>
      <color theme="1"/>
      <name val="Sylfaen"/>
      <family val="1"/>
    </font>
    <font>
      <u/>
      <sz val="10"/>
      <color indexed="12"/>
      <name val="Arial"/>
      <family val="2"/>
    </font>
  </fonts>
  <fills count="17">
    <fill>
      <patternFill patternType="none"/>
    </fill>
    <fill>
      <patternFill patternType="gray125"/>
    </fill>
    <fill>
      <patternFill patternType="solid">
        <fgColor theme="6" tint="0.59999389629810485"/>
        <bgColor indexed="64"/>
      </patternFill>
    </fill>
    <fill>
      <patternFill patternType="lightGray">
        <fgColor indexed="22"/>
      </patternFill>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rgb="FF5F5F5F"/>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0000"/>
        <bgColor indexed="64"/>
      </patternFill>
    </fill>
  </fills>
  <borders count="11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double">
        <color indexed="64"/>
      </bottom>
      <diagonal/>
    </border>
    <border>
      <left/>
      <right/>
      <top/>
      <bottom style="double">
        <color indexed="64"/>
      </bottom>
      <diagonal/>
    </border>
    <border>
      <left/>
      <right style="thin">
        <color theme="1" tint="0.34998626667073579"/>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style="thin">
        <color theme="1" tint="0.34998626667073579"/>
      </top>
      <bottom style="double">
        <color theme="1" tint="0.34998626667073579"/>
      </bottom>
      <diagonal/>
    </border>
    <border>
      <left/>
      <right/>
      <top style="thin">
        <color theme="1" tint="0.34998626667073579"/>
      </top>
      <bottom style="double">
        <color theme="1" tint="0.34998626667073579"/>
      </bottom>
      <diagonal/>
    </border>
    <border>
      <left/>
      <right style="thin">
        <color theme="1" tint="0.34998626667073579"/>
      </right>
      <top style="thin">
        <color theme="1" tint="0.34998626667073579"/>
      </top>
      <bottom style="double">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s>
  <cellStyleXfs count="2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12" fillId="3" borderId="0"/>
    <xf numFmtId="0" fontId="4" fillId="0" borderId="0"/>
    <xf numFmtId="43" fontId="26" fillId="0" borderId="0" applyFont="0" applyFill="0" applyBorder="0" applyAlignment="0" applyProtection="0"/>
    <xf numFmtId="0" fontId="1" fillId="0" borderId="0"/>
    <xf numFmtId="0" fontId="27" fillId="0" borderId="0"/>
    <xf numFmtId="43" fontId="1" fillId="0" borderId="0" applyFont="0" applyFill="0" applyBorder="0" applyAlignment="0" applyProtection="0"/>
    <xf numFmtId="0" fontId="1" fillId="0" borderId="0"/>
    <xf numFmtId="0" fontId="1" fillId="0" borderId="0"/>
    <xf numFmtId="0" fontId="4" fillId="0" borderId="0"/>
    <xf numFmtId="0" fontId="4" fillId="0" borderId="0"/>
    <xf numFmtId="43" fontId="4" fillId="0" borderId="0" applyFont="0" applyFill="0" applyBorder="0" applyAlignment="0" applyProtection="0"/>
    <xf numFmtId="0" fontId="27" fillId="0" borderId="0"/>
    <xf numFmtId="0" fontId="1" fillId="0" borderId="0"/>
    <xf numFmtId="0" fontId="4" fillId="0" borderId="0"/>
    <xf numFmtId="0" fontId="4" fillId="0" borderId="0"/>
    <xf numFmtId="0" fontId="4" fillId="0" borderId="0">
      <alignment vertical="center"/>
    </xf>
    <xf numFmtId="43" fontId="4" fillId="0" borderId="0" applyFont="0" applyFill="0" applyBorder="0" applyAlignment="0" applyProtection="0"/>
    <xf numFmtId="0" fontId="4" fillId="0" borderId="0"/>
    <xf numFmtId="172" fontId="1" fillId="0" borderId="0" applyFont="0" applyFill="0" applyBorder="0" applyAlignment="0" applyProtection="0"/>
    <xf numFmtId="0" fontId="4" fillId="0" borderId="0"/>
    <xf numFmtId="0" fontId="75" fillId="0" borderId="0" applyNumberFormat="0" applyFill="0" applyBorder="0" applyAlignment="0" applyProtection="0"/>
    <xf numFmtId="0" fontId="4" fillId="0" borderId="0"/>
    <xf numFmtId="0" fontId="78" fillId="0" borderId="0" applyNumberFormat="0" applyFill="0" applyBorder="0" applyAlignment="0" applyProtection="0">
      <alignment vertical="top"/>
      <protection locked="0"/>
    </xf>
  </cellStyleXfs>
  <cellXfs count="978">
    <xf numFmtId="0" fontId="0" fillId="0" borderId="0" xfId="0"/>
    <xf numFmtId="0" fontId="5" fillId="0" borderId="0" xfId="3" applyFont="1"/>
    <xf numFmtId="43" fontId="6" fillId="0" borderId="0" xfId="1" applyFont="1"/>
    <xf numFmtId="0" fontId="6" fillId="0" borderId="0" xfId="0" applyFont="1"/>
    <xf numFmtId="0" fontId="7" fillId="0" borderId="0" xfId="0" applyFont="1"/>
    <xf numFmtId="14" fontId="7" fillId="0" borderId="0" xfId="0" applyNumberFormat="1" applyFont="1" applyAlignment="1">
      <alignment horizontal="left"/>
    </xf>
    <xf numFmtId="0" fontId="5" fillId="0" borderId="1" xfId="0" applyFont="1" applyBorder="1"/>
    <xf numFmtId="0" fontId="8" fillId="0" borderId="1" xfId="0" applyFont="1" applyBorder="1" applyAlignment="1">
      <alignment horizontal="center"/>
    </xf>
    <xf numFmtId="0" fontId="9"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11" fillId="2" borderId="4" xfId="0" applyFont="1" applyFill="1" applyBorder="1" applyAlignment="1">
      <alignment horizontal="center" wrapText="1"/>
    </xf>
    <xf numFmtId="0" fontId="5" fillId="0" borderId="5" xfId="0" applyFont="1" applyBorder="1" applyAlignment="1">
      <alignment horizontal="right" vertical="center" wrapText="1"/>
    </xf>
    <xf numFmtId="0" fontId="6" fillId="0" borderId="6" xfId="0" applyFont="1" applyBorder="1" applyAlignment="1">
      <alignmen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5" xfId="0" applyFont="1" applyBorder="1" applyAlignment="1">
      <alignment horizontal="left" vertical="center" wrapText="1" indent="1"/>
    </xf>
    <xf numFmtId="0" fontId="5" fillId="0" borderId="8" xfId="0" applyFont="1" applyBorder="1" applyAlignment="1">
      <alignment horizontal="center" vertical="center" wrapText="1"/>
    </xf>
    <xf numFmtId="0" fontId="9" fillId="0" borderId="9" xfId="0" applyFont="1" applyBorder="1" applyAlignment="1">
      <alignment horizontal="center" vertical="center" wrapText="1"/>
    </xf>
    <xf numFmtId="164" fontId="12" fillId="3" borderId="0" xfId="4"/>
    <xf numFmtId="164" fontId="12" fillId="0" borderId="0" xfId="4" applyFill="1"/>
    <xf numFmtId="164" fontId="12" fillId="0" borderId="10" xfId="4" applyFill="1" applyBorder="1"/>
    <xf numFmtId="164" fontId="12" fillId="3" borderId="11" xfId="4" applyBorder="1"/>
    <xf numFmtId="164" fontId="12" fillId="3" borderId="10" xfId="4" applyBorder="1"/>
    <xf numFmtId="0" fontId="13" fillId="0" borderId="9" xfId="0" applyFont="1" applyBorder="1" applyAlignment="1">
      <alignment horizontal="left" vertical="center" wrapText="1"/>
    </xf>
    <xf numFmtId="0" fontId="5" fillId="0" borderId="8" xfId="0" applyFont="1" applyBorder="1" applyAlignment="1">
      <alignment horizontal="right" vertical="center" wrapText="1"/>
    </xf>
    <xf numFmtId="0" fontId="6" fillId="0" borderId="9" xfId="0" applyFont="1" applyBorder="1" applyAlignment="1">
      <alignment vertical="center" wrapText="1"/>
    </xf>
    <xf numFmtId="165" fontId="7" fillId="0" borderId="9" xfId="0" applyNumberFormat="1" applyFont="1" applyBorder="1" applyAlignment="1" applyProtection="1">
      <alignment vertical="center" wrapText="1"/>
      <protection locked="0"/>
    </xf>
    <xf numFmtId="165" fontId="7" fillId="0" borderId="12" xfId="0" applyNumberFormat="1" applyFont="1" applyBorder="1" applyAlignment="1" applyProtection="1">
      <alignment vertical="center" wrapText="1"/>
      <protection locked="0"/>
    </xf>
    <xf numFmtId="165" fontId="7" fillId="0" borderId="8" xfId="0" applyNumberFormat="1" applyFont="1" applyBorder="1" applyAlignment="1" applyProtection="1">
      <alignment vertical="center" wrapText="1"/>
      <protection locked="0"/>
    </xf>
    <xf numFmtId="165" fontId="6" fillId="0" borderId="9" xfId="0" applyNumberFormat="1" applyFont="1" applyBorder="1" applyAlignment="1" applyProtection="1">
      <alignment vertical="center" wrapText="1"/>
      <protection locked="0"/>
    </xf>
    <xf numFmtId="165" fontId="6" fillId="0" borderId="9" xfId="0" applyNumberFormat="1" applyFont="1" applyBorder="1" applyAlignment="1" applyProtection="1">
      <alignment horizontal="right" vertical="center" wrapText="1"/>
      <protection locked="0"/>
    </xf>
    <xf numFmtId="10" fontId="7" fillId="0" borderId="9" xfId="2" applyNumberFormat="1" applyFont="1" applyFill="1" applyBorder="1" applyAlignment="1" applyProtection="1">
      <alignment horizontal="right" vertical="center" wrapText="1"/>
      <protection locked="0"/>
    </xf>
    <xf numFmtId="10" fontId="7" fillId="0" borderId="8" xfId="2" applyNumberFormat="1" applyFont="1" applyBorder="1" applyAlignment="1" applyProtection="1">
      <alignment vertical="center" wrapText="1"/>
      <protection locked="0"/>
    </xf>
    <xf numFmtId="10" fontId="7" fillId="0" borderId="9" xfId="2" applyNumberFormat="1" applyFont="1" applyBorder="1" applyAlignment="1" applyProtection="1">
      <alignment vertical="center" wrapText="1"/>
      <protection locked="0"/>
    </xf>
    <xf numFmtId="10" fontId="7" fillId="0" borderId="12" xfId="2" applyNumberFormat="1" applyFont="1" applyBorder="1" applyAlignment="1" applyProtection="1">
      <alignment vertical="center" wrapText="1"/>
      <protection locked="0"/>
    </xf>
    <xf numFmtId="10" fontId="7" fillId="0" borderId="9" xfId="2" applyNumberFormat="1" applyFont="1" applyFill="1" applyBorder="1" applyAlignment="1" applyProtection="1">
      <alignment vertical="center" wrapText="1"/>
      <protection locked="0"/>
    </xf>
    <xf numFmtId="0" fontId="5" fillId="5" borderId="8" xfId="0" applyFont="1" applyFill="1" applyBorder="1" applyAlignment="1">
      <alignment horizontal="right" vertical="center"/>
    </xf>
    <xf numFmtId="0" fontId="5" fillId="5" borderId="9" xfId="0" applyFont="1" applyFill="1" applyBorder="1" applyAlignment="1">
      <alignment vertical="center"/>
    </xf>
    <xf numFmtId="9" fontId="5" fillId="5" borderId="9" xfId="2" applyFont="1" applyFill="1" applyBorder="1" applyAlignment="1" applyProtection="1">
      <alignment vertical="center"/>
      <protection locked="0"/>
    </xf>
    <xf numFmtId="9" fontId="5" fillId="0" borderId="9" xfId="2" applyFont="1" applyFill="1" applyBorder="1" applyAlignment="1" applyProtection="1">
      <alignment vertical="center"/>
      <protection locked="0"/>
    </xf>
    <xf numFmtId="9" fontId="14" fillId="5" borderId="9" xfId="2" applyFont="1" applyFill="1" applyBorder="1" applyAlignment="1" applyProtection="1">
      <alignment vertical="center"/>
      <protection locked="0"/>
    </xf>
    <xf numFmtId="9" fontId="14" fillId="5" borderId="12" xfId="2" applyFont="1" applyFill="1" applyBorder="1" applyAlignment="1" applyProtection="1">
      <alignment vertical="center"/>
      <protection locked="0"/>
    </xf>
    <xf numFmtId="166" fontId="0" fillId="0" borderId="0" xfId="2" applyNumberFormat="1" applyFont="1"/>
    <xf numFmtId="9" fontId="14" fillId="5" borderId="8" xfId="2" applyFont="1" applyFill="1" applyBorder="1" applyAlignment="1" applyProtection="1">
      <alignment vertical="center"/>
      <protection locked="0"/>
    </xf>
    <xf numFmtId="9" fontId="14" fillId="0" borderId="9" xfId="2" applyFont="1" applyFill="1" applyBorder="1" applyAlignment="1" applyProtection="1">
      <alignment vertical="center"/>
      <protection locked="0"/>
    </xf>
    <xf numFmtId="10" fontId="14" fillId="5" borderId="12" xfId="2" applyNumberFormat="1" applyFont="1" applyFill="1" applyBorder="1" applyAlignment="1" applyProtection="1">
      <alignment vertical="center"/>
      <protection locked="0"/>
    </xf>
    <xf numFmtId="9" fontId="12" fillId="3" borderId="0" xfId="4" applyNumberFormat="1"/>
    <xf numFmtId="9" fontId="12" fillId="0" borderId="0" xfId="4" applyNumberFormat="1" applyFill="1"/>
    <xf numFmtId="9" fontId="12" fillId="3" borderId="10" xfId="4" applyNumberFormat="1" applyBorder="1"/>
    <xf numFmtId="9" fontId="5" fillId="5" borderId="12" xfId="2" applyFont="1" applyFill="1" applyBorder="1" applyAlignment="1" applyProtection="1">
      <alignment vertical="center"/>
      <protection locked="0"/>
    </xf>
    <xf numFmtId="9" fontId="5" fillId="5" borderId="8" xfId="2" applyFont="1" applyFill="1" applyBorder="1" applyAlignment="1" applyProtection="1">
      <alignment vertical="center"/>
      <protection locked="0"/>
    </xf>
    <xf numFmtId="165" fontId="5" fillId="5" borderId="9" xfId="0" applyNumberFormat="1" applyFont="1" applyFill="1" applyBorder="1" applyAlignment="1" applyProtection="1">
      <alignment vertical="center"/>
      <protection locked="0"/>
    </xf>
    <xf numFmtId="0" fontId="9" fillId="0" borderId="8" xfId="0" applyFont="1" applyBorder="1" applyAlignment="1">
      <alignment horizontal="center" vertical="center" wrapText="1"/>
    </xf>
    <xf numFmtId="0" fontId="5" fillId="0" borderId="9" xfId="0" applyFont="1" applyBorder="1" applyAlignment="1">
      <alignment horizontal="left" vertical="center" wrapText="1"/>
    </xf>
    <xf numFmtId="165" fontId="5" fillId="5" borderId="8" xfId="0" applyNumberFormat="1" applyFont="1" applyFill="1" applyBorder="1" applyAlignment="1" applyProtection="1">
      <alignment vertical="center"/>
      <protection locked="0"/>
    </xf>
    <xf numFmtId="165" fontId="5" fillId="5" borderId="12" xfId="0" applyNumberFormat="1" applyFont="1" applyFill="1" applyBorder="1" applyAlignment="1" applyProtection="1">
      <alignment vertical="center"/>
      <protection locked="0"/>
    </xf>
    <xf numFmtId="165" fontId="14" fillId="5" borderId="8" xfId="0" applyNumberFormat="1" applyFont="1" applyFill="1" applyBorder="1" applyAlignment="1" applyProtection="1">
      <alignment vertical="center"/>
      <protection locked="0"/>
    </xf>
    <xf numFmtId="165" fontId="14" fillId="5" borderId="9" xfId="0" applyNumberFormat="1" applyFont="1" applyFill="1" applyBorder="1" applyAlignment="1" applyProtection="1">
      <alignment vertical="center"/>
      <protection locked="0"/>
    </xf>
    <xf numFmtId="165" fontId="14" fillId="5" borderId="12" xfId="0" applyNumberFormat="1" applyFont="1" applyFill="1" applyBorder="1" applyAlignment="1" applyProtection="1">
      <alignment vertical="center"/>
      <protection locked="0"/>
    </xf>
    <xf numFmtId="0" fontId="5" fillId="5" borderId="13" xfId="0" applyFont="1" applyFill="1" applyBorder="1" applyAlignment="1">
      <alignment horizontal="right" vertical="center"/>
    </xf>
    <xf numFmtId="0" fontId="5" fillId="5" borderId="14" xfId="0" applyFont="1" applyFill="1" applyBorder="1" applyAlignment="1">
      <alignment vertical="center"/>
    </xf>
    <xf numFmtId="165" fontId="14" fillId="0" borderId="14" xfId="0" applyNumberFormat="1" applyFont="1" applyBorder="1" applyAlignment="1" applyProtection="1">
      <alignment vertical="center"/>
      <protection locked="0"/>
    </xf>
    <xf numFmtId="165" fontId="14" fillId="5" borderId="13" xfId="0" applyNumberFormat="1" applyFont="1" applyFill="1" applyBorder="1" applyAlignment="1" applyProtection="1">
      <alignment vertical="center"/>
      <protection locked="0"/>
    </xf>
    <xf numFmtId="165" fontId="14" fillId="5" borderId="14" xfId="0" applyNumberFormat="1" applyFont="1" applyFill="1" applyBorder="1" applyAlignment="1" applyProtection="1">
      <alignment vertical="center"/>
      <protection locked="0"/>
    </xf>
    <xf numFmtId="165" fontId="14" fillId="5" borderId="15" xfId="0" applyNumberFormat="1" applyFont="1" applyFill="1" applyBorder="1" applyAlignment="1" applyProtection="1">
      <alignment vertical="center"/>
      <protection locked="0"/>
    </xf>
    <xf numFmtId="0" fontId="5" fillId="5" borderId="16" xfId="0" applyFont="1" applyFill="1" applyBorder="1" applyAlignment="1">
      <alignment horizontal="right" vertical="center"/>
    </xf>
    <xf numFmtId="165" fontId="5" fillId="5" borderId="17" xfId="0" applyNumberFormat="1" applyFont="1" applyFill="1" applyBorder="1" applyAlignment="1" applyProtection="1">
      <alignment vertical="center"/>
      <protection locked="0"/>
    </xf>
    <xf numFmtId="10" fontId="5" fillId="0" borderId="9" xfId="2" applyNumberFormat="1" applyFont="1" applyFill="1" applyBorder="1" applyAlignment="1" applyProtection="1">
      <alignment vertical="center"/>
      <protection locked="0"/>
    </xf>
    <xf numFmtId="10" fontId="14" fillId="0" borderId="17" xfId="2" applyNumberFormat="1" applyFont="1" applyFill="1" applyBorder="1" applyAlignment="1" applyProtection="1">
      <alignment vertical="center"/>
      <protection locked="0"/>
    </xf>
    <xf numFmtId="9" fontId="14" fillId="0" borderId="17" xfId="2" applyFont="1" applyFill="1" applyBorder="1" applyAlignment="1" applyProtection="1">
      <alignment vertical="center"/>
      <protection locked="0"/>
    </xf>
    <xf numFmtId="9" fontId="14" fillId="5" borderId="16" xfId="2" applyFont="1" applyFill="1" applyBorder="1" applyAlignment="1" applyProtection="1">
      <alignment vertical="center"/>
      <protection locked="0"/>
    </xf>
    <xf numFmtId="9" fontId="14" fillId="5" borderId="17" xfId="2" applyFont="1" applyFill="1" applyBorder="1" applyAlignment="1" applyProtection="1">
      <alignment vertical="center"/>
      <protection locked="0"/>
    </xf>
    <xf numFmtId="9" fontId="14" fillId="5" borderId="18" xfId="2" applyFont="1" applyFill="1" applyBorder="1" applyAlignment="1" applyProtection="1">
      <alignment vertical="center"/>
      <protection locked="0"/>
    </xf>
    <xf numFmtId="0" fontId="5" fillId="0" borderId="0" xfId="0" applyFont="1" applyAlignment="1">
      <alignment horizontal="right"/>
    </xf>
    <xf numFmtId="0" fontId="5" fillId="0" borderId="0" xfId="0" applyFont="1"/>
    <xf numFmtId="0" fontId="7" fillId="0" borderId="0" xfId="0" applyFont="1" applyAlignment="1">
      <alignment wrapText="1"/>
    </xf>
    <xf numFmtId="0" fontId="6" fillId="0" borderId="0" xfId="0" applyFont="1" applyAlignment="1">
      <alignment wrapText="1"/>
    </xf>
    <xf numFmtId="167" fontId="6" fillId="0" borderId="0" xfId="1" applyNumberFormat="1" applyFont="1"/>
    <xf numFmtId="167" fontId="7" fillId="0" borderId="0" xfId="1" applyNumberFormat="1" applyFont="1"/>
    <xf numFmtId="167" fontId="0" fillId="0" borderId="0" xfId="1" applyNumberFormat="1" applyFont="1"/>
    <xf numFmtId="0" fontId="0" fillId="0" borderId="9" xfId="0" applyBorder="1" applyAlignment="1">
      <alignment horizontal="center" vertical="center"/>
    </xf>
    <xf numFmtId="0" fontId="15" fillId="0" borderId="14" xfId="0" applyFont="1" applyBorder="1" applyAlignment="1">
      <alignment horizontal="center" vertical="center"/>
    </xf>
    <xf numFmtId="167" fontId="8" fillId="0" borderId="6" xfId="1" applyNumberFormat="1" applyFont="1" applyBorder="1" applyAlignment="1">
      <alignment horizontal="center" vertical="center"/>
    </xf>
    <xf numFmtId="167" fontId="8" fillId="0" borderId="7" xfId="1" applyNumberFormat="1" applyFont="1" applyBorder="1" applyAlignment="1">
      <alignment horizontal="center" vertical="center"/>
    </xf>
    <xf numFmtId="0" fontId="15" fillId="0" borderId="19" xfId="0" applyFont="1" applyBorder="1" applyAlignment="1">
      <alignment horizontal="center" vertical="center"/>
    </xf>
    <xf numFmtId="167" fontId="5" fillId="0" borderId="9" xfId="1" applyNumberFormat="1" applyFont="1" applyBorder="1" applyAlignment="1">
      <alignment horizontal="center" vertical="center" wrapText="1"/>
    </xf>
    <xf numFmtId="0" fontId="3" fillId="0" borderId="9" xfId="0" applyFont="1" applyBorder="1" applyAlignment="1">
      <alignment horizontal="center" vertical="center"/>
    </xf>
    <xf numFmtId="167" fontId="0" fillId="0" borderId="20" xfId="1" applyNumberFormat="1" applyFont="1" applyBorder="1" applyAlignment="1">
      <alignment horizontal="center"/>
    </xf>
    <xf numFmtId="167" fontId="0" fillId="0" borderId="21" xfId="1" applyNumberFormat="1" applyFont="1" applyBorder="1" applyAlignment="1">
      <alignment horizontal="center"/>
    </xf>
    <xf numFmtId="167" fontId="0" fillId="0" borderId="22" xfId="1" applyNumberFormat="1" applyFont="1" applyBorder="1" applyAlignment="1">
      <alignment horizontal="center"/>
    </xf>
    <xf numFmtId="0" fontId="0" fillId="0" borderId="9" xfId="0" applyBorder="1" applyAlignment="1">
      <alignment horizontal="center"/>
    </xf>
    <xf numFmtId="0" fontId="16" fillId="6" borderId="9" xfId="5" applyFont="1" applyFill="1" applyBorder="1" applyAlignment="1">
      <alignment horizontal="left" vertical="center" wrapText="1"/>
    </xf>
    <xf numFmtId="167" fontId="7" fillId="0" borderId="9" xfId="1" applyNumberFormat="1" applyFont="1" applyBorder="1"/>
    <xf numFmtId="167" fontId="7" fillId="7" borderId="9" xfId="1" applyNumberFormat="1" applyFont="1" applyFill="1" applyBorder="1"/>
    <xf numFmtId="0" fontId="17" fillId="0" borderId="9" xfId="5" applyFont="1" applyBorder="1" applyAlignment="1">
      <alignment horizontal="left" vertical="center" wrapText="1" indent="1"/>
    </xf>
    <xf numFmtId="0" fontId="18" fillId="6" borderId="9" xfId="5" applyFont="1" applyFill="1" applyBorder="1" applyAlignment="1">
      <alignment horizontal="left" vertical="center" wrapText="1"/>
    </xf>
    <xf numFmtId="0" fontId="17" fillId="6" borderId="9" xfId="5" applyFont="1" applyFill="1" applyBorder="1" applyAlignment="1">
      <alignment horizontal="left" vertical="center" wrapText="1" indent="1"/>
    </xf>
    <xf numFmtId="0" fontId="16" fillId="0" borderId="23" xfId="0" applyFont="1" applyBorder="1" applyAlignment="1">
      <alignment horizontal="left" vertical="center" wrapText="1"/>
    </xf>
    <xf numFmtId="0" fontId="18" fillId="0" borderId="23" xfId="0" applyFont="1" applyBorder="1" applyAlignment="1">
      <alignment horizontal="left" vertical="center" wrapText="1"/>
    </xf>
    <xf numFmtId="167" fontId="7" fillId="0" borderId="9" xfId="1" applyNumberFormat="1" applyFont="1" applyBorder="1" applyAlignment="1">
      <alignment vertical="center"/>
    </xf>
    <xf numFmtId="167" fontId="7" fillId="7" borderId="9" xfId="1" applyNumberFormat="1" applyFont="1" applyFill="1" applyBorder="1" applyAlignment="1">
      <alignment vertical="center"/>
    </xf>
    <xf numFmtId="0" fontId="19" fillId="6" borderId="23" xfId="0" applyFont="1" applyFill="1" applyBorder="1" applyAlignment="1">
      <alignment horizontal="left" vertical="center" wrapText="1" indent="1"/>
    </xf>
    <xf numFmtId="0" fontId="18" fillId="6" borderId="23"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19" fillId="0" borderId="23" xfId="0" applyFont="1" applyBorder="1" applyAlignment="1">
      <alignment horizontal="left" vertical="center" wrapText="1" indent="1"/>
    </xf>
    <xf numFmtId="0" fontId="19" fillId="0" borderId="9" xfId="5" applyFont="1" applyBorder="1" applyAlignment="1">
      <alignment horizontal="left" vertical="center" wrapText="1" indent="1"/>
    </xf>
    <xf numFmtId="0" fontId="18" fillId="0" borderId="9" xfId="5" applyFont="1" applyBorder="1" applyAlignment="1">
      <alignment horizontal="left" vertical="center" wrapText="1"/>
    </xf>
    <xf numFmtId="167" fontId="0" fillId="0" borderId="0" xfId="0" applyNumberFormat="1"/>
    <xf numFmtId="0" fontId="20" fillId="0" borderId="9" xfId="5" applyFont="1" applyBorder="1" applyAlignment="1">
      <alignment horizontal="center" vertical="center" wrapText="1"/>
    </xf>
    <xf numFmtId="167" fontId="7" fillId="0" borderId="20" xfId="1" applyNumberFormat="1" applyFont="1" applyBorder="1" applyAlignment="1">
      <alignment horizontal="center"/>
    </xf>
    <xf numFmtId="167" fontId="7" fillId="0" borderId="21" xfId="1" applyNumberFormat="1" applyFont="1" applyBorder="1" applyAlignment="1">
      <alignment horizontal="center"/>
    </xf>
    <xf numFmtId="167" fontId="7" fillId="0" borderId="22" xfId="1" applyNumberFormat="1" applyFont="1" applyBorder="1" applyAlignment="1">
      <alignment horizontal="center"/>
    </xf>
    <xf numFmtId="0" fontId="18" fillId="6" borderId="25" xfId="0" applyFont="1" applyFill="1" applyBorder="1" applyAlignment="1">
      <alignment horizontal="left" vertical="center" wrapText="1"/>
    </xf>
    <xf numFmtId="0" fontId="17" fillId="6" borderId="23" xfId="0" applyFont="1" applyFill="1" applyBorder="1" applyAlignment="1">
      <alignment horizontal="left" vertical="center" wrapText="1" indent="1"/>
    </xf>
    <xf numFmtId="167" fontId="7" fillId="0" borderId="9" xfId="1" applyNumberFormat="1" applyFont="1" applyFill="1" applyBorder="1"/>
    <xf numFmtId="0" fontId="17" fillId="0" borderId="23" xfId="0" applyFont="1" applyBorder="1" applyAlignment="1">
      <alignment horizontal="left" vertical="center" wrapText="1" indent="1"/>
    </xf>
    <xf numFmtId="0" fontId="17" fillId="0" borderId="24" xfId="0" applyFont="1" applyBorder="1" applyAlignment="1">
      <alignment horizontal="left" vertical="center" wrapText="1" indent="1"/>
    </xf>
    <xf numFmtId="0" fontId="21" fillId="0" borderId="9" xfId="0" applyFont="1" applyBorder="1" applyAlignment="1">
      <alignment horizontal="left"/>
    </xf>
    <xf numFmtId="0" fontId="18" fillId="0" borderId="9"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0" fillId="0" borderId="26" xfId="0" applyBorder="1" applyAlignment="1">
      <alignment horizontal="center" vertical="center"/>
    </xf>
    <xf numFmtId="0" fontId="15" fillId="0" borderId="14"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27" xfId="0" applyBorder="1" applyAlignment="1">
      <alignment horizontal="center" vertical="center"/>
    </xf>
    <xf numFmtId="0" fontId="15" fillId="0" borderId="19" xfId="0" applyFont="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xf>
    <xf numFmtId="0" fontId="18" fillId="0" borderId="28" xfId="0" applyFont="1" applyBorder="1" applyAlignment="1">
      <alignment horizontal="justify" vertical="center" wrapText="1"/>
    </xf>
    <xf numFmtId="43" fontId="0" fillId="0" borderId="9" xfId="1" applyFont="1" applyBorder="1"/>
    <xf numFmtId="43" fontId="0" fillId="7" borderId="9" xfId="1" applyFont="1" applyFill="1" applyBorder="1"/>
    <xf numFmtId="0" fontId="17" fillId="0" borderId="25" xfId="0" applyFont="1" applyBorder="1" applyAlignment="1">
      <alignment horizontal="left" vertical="center" wrapText="1" indent="1"/>
    </xf>
    <xf numFmtId="0" fontId="18" fillId="0" borderId="23" xfId="0" applyFont="1" applyBorder="1" applyAlignment="1">
      <alignment horizontal="justify" vertical="center" wrapText="1"/>
    </xf>
    <xf numFmtId="0" fontId="16" fillId="0" borderId="23" xfId="0" applyFont="1" applyBorder="1" applyAlignment="1">
      <alignment horizontal="justify" vertical="center" wrapText="1"/>
    </xf>
    <xf numFmtId="0" fontId="18" fillId="6" borderId="23" xfId="0" applyFont="1" applyFill="1" applyBorder="1" applyAlignment="1">
      <alignment horizontal="justify" vertical="center" wrapText="1"/>
    </xf>
    <xf numFmtId="167" fontId="0" fillId="0" borderId="9" xfId="1" applyNumberFormat="1" applyFont="1" applyBorder="1"/>
    <xf numFmtId="0" fontId="18" fillId="0" borderId="24" xfId="0" applyFont="1" applyBorder="1" applyAlignment="1">
      <alignment horizontal="justify" vertical="center" wrapText="1"/>
    </xf>
    <xf numFmtId="0" fontId="18" fillId="0" borderId="25" xfId="0" applyFont="1" applyBorder="1" applyAlignment="1">
      <alignment horizontal="justify" vertical="center" wrapText="1"/>
    </xf>
    <xf numFmtId="167" fontId="0" fillId="7" borderId="9" xfId="1" applyNumberFormat="1" applyFont="1" applyFill="1" applyBorder="1"/>
    <xf numFmtId="0" fontId="18" fillId="0" borderId="9" xfId="5" applyFont="1" applyBorder="1" applyAlignment="1">
      <alignment horizontal="justify" vertical="center" wrapText="1"/>
    </xf>
    <xf numFmtId="0" fontId="19" fillId="0" borderId="29" xfId="0" applyFont="1" applyBorder="1" applyAlignment="1">
      <alignment horizontal="left" vertical="center" wrapText="1" indent="1"/>
    </xf>
    <xf numFmtId="0" fontId="16" fillId="0" borderId="23" xfId="0" applyFont="1" applyBorder="1" applyAlignment="1">
      <alignment vertical="center" wrapText="1"/>
    </xf>
    <xf numFmtId="168" fontId="0" fillId="0" borderId="9" xfId="1" applyNumberFormat="1" applyFont="1" applyBorder="1"/>
    <xf numFmtId="0" fontId="18" fillId="0" borderId="23" xfId="0" applyFont="1" applyBorder="1" applyAlignment="1">
      <alignment vertical="center" wrapText="1"/>
    </xf>
    <xf numFmtId="0" fontId="18" fillId="0" borderId="9" xfId="5" applyFont="1" applyBorder="1" applyAlignment="1">
      <alignment vertical="center" wrapText="1"/>
    </xf>
    <xf numFmtId="0" fontId="5" fillId="0" borderId="0" xfId="0" applyFont="1" applyAlignment="1">
      <alignment horizontal="left" wrapText="1"/>
    </xf>
    <xf numFmtId="0" fontId="8" fillId="0" borderId="0" xfId="0" applyFont="1" applyAlignment="1">
      <alignment horizontal="center" wrapText="1"/>
    </xf>
    <xf numFmtId="0" fontId="5" fillId="0" borderId="0" xfId="0" applyFont="1" applyAlignment="1">
      <alignment horizontal="right" wrapText="1"/>
    </xf>
    <xf numFmtId="0" fontId="5" fillId="0" borderId="5" xfId="0" applyFont="1" applyBorder="1"/>
    <xf numFmtId="0" fontId="8" fillId="0" borderId="30" xfId="0" applyFont="1" applyBorder="1" applyAlignment="1">
      <alignment horizontal="center" wrapText="1"/>
    </xf>
    <xf numFmtId="0" fontId="8" fillId="0" borderId="7" xfId="0" applyFont="1" applyBorder="1" applyAlignment="1">
      <alignment horizontal="center"/>
    </xf>
    <xf numFmtId="0" fontId="5" fillId="0" borderId="8" xfId="0" applyFont="1" applyBorder="1" applyAlignment="1">
      <alignment vertical="center"/>
    </xf>
    <xf numFmtId="0" fontId="22" fillId="0" borderId="20" xfId="0" applyFont="1" applyBorder="1" applyAlignment="1">
      <alignment wrapText="1"/>
    </xf>
    <xf numFmtId="0" fontId="7" fillId="0" borderId="12" xfId="0" applyFont="1" applyBorder="1"/>
    <xf numFmtId="0" fontId="22" fillId="0" borderId="9" xfId="0" applyFont="1" applyBorder="1" applyAlignment="1">
      <alignment wrapText="1"/>
    </xf>
    <xf numFmtId="0" fontId="7" fillId="0" borderId="12" xfId="0" applyFont="1" applyBorder="1"/>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20" xfId="0" applyFont="1" applyBorder="1" applyAlignment="1">
      <alignment wrapText="1"/>
    </xf>
    <xf numFmtId="0" fontId="5" fillId="0" borderId="12" xfId="0" applyFont="1" applyBorder="1"/>
    <xf numFmtId="0" fontId="5" fillId="0" borderId="12" xfId="0" applyFont="1" applyBorder="1" applyAlignment="1">
      <alignment wrapText="1"/>
    </xf>
    <xf numFmtId="0" fontId="5" fillId="0" borderId="31" xfId="0" applyFont="1" applyBorder="1" applyAlignment="1">
      <alignment wrapText="1"/>
    </xf>
    <xf numFmtId="0" fontId="8" fillId="0" borderId="20" xfId="0" applyFont="1" applyBorder="1" applyAlignment="1">
      <alignment horizontal="center" vertical="center" wrapText="1"/>
    </xf>
    <xf numFmtId="0" fontId="8" fillId="0" borderId="31" xfId="0" applyFont="1" applyBorder="1" applyAlignment="1">
      <alignment horizontal="center" vertical="center" wrapText="1"/>
    </xf>
    <xf numFmtId="166" fontId="7" fillId="0" borderId="31" xfId="2" applyNumberFormat="1" applyFont="1" applyBorder="1" applyAlignment="1">
      <alignment horizontal="center"/>
    </xf>
    <xf numFmtId="0" fontId="7" fillId="0" borderId="31" xfId="0" applyFont="1" applyBorder="1"/>
    <xf numFmtId="166" fontId="7" fillId="0" borderId="12" xfId="2" applyNumberFormat="1" applyFont="1" applyBorder="1"/>
    <xf numFmtId="0" fontId="5" fillId="0" borderId="13" xfId="0" applyFont="1" applyBorder="1" applyAlignment="1">
      <alignment vertical="center"/>
    </xf>
    <xf numFmtId="0" fontId="22" fillId="0" borderId="32" xfId="0" applyFont="1" applyBorder="1" applyAlignment="1">
      <alignment wrapText="1"/>
    </xf>
    <xf numFmtId="166" fontId="7" fillId="0" borderId="15" xfId="2" applyNumberFormat="1" applyFont="1" applyBorder="1"/>
    <xf numFmtId="0" fontId="5" fillId="0" borderId="13" xfId="0" applyFont="1" applyBorder="1" applyAlignment="1">
      <alignment horizontal="right" vertical="center"/>
    </xf>
    <xf numFmtId="0" fontId="5" fillId="0" borderId="16" xfId="0" applyFont="1" applyBorder="1"/>
    <xf numFmtId="0" fontId="22" fillId="0" borderId="33" xfId="0" applyFont="1" applyBorder="1" applyAlignment="1">
      <alignment wrapText="1"/>
    </xf>
    <xf numFmtId="0" fontId="7" fillId="0" borderId="18" xfId="0" applyFont="1" applyBorder="1"/>
    <xf numFmtId="0" fontId="24" fillId="0" borderId="0" xfId="0" applyFont="1" applyAlignment="1">
      <alignment horizontal="center"/>
    </xf>
    <xf numFmtId="0" fontId="6" fillId="0" borderId="5" xfId="8" applyFont="1" applyBorder="1" applyAlignment="1" applyProtection="1">
      <alignment horizontal="center" vertical="center"/>
      <protection locked="0"/>
    </xf>
    <xf numFmtId="0" fontId="9" fillId="6" borderId="35" xfId="8" applyFont="1" applyFill="1" applyBorder="1" applyAlignment="1" applyProtection="1">
      <alignment horizontal="center" vertical="center" wrapText="1"/>
      <protection locked="0"/>
    </xf>
    <xf numFmtId="167" fontId="6" fillId="6" borderId="7" xfId="9" applyNumberFormat="1" applyFont="1" applyFill="1" applyBorder="1" applyAlignment="1" applyProtection="1">
      <alignment horizontal="center" vertical="center"/>
      <protection locked="0"/>
    </xf>
    <xf numFmtId="0" fontId="6" fillId="0" borderId="8" xfId="8" applyFont="1" applyBorder="1" applyAlignment="1" applyProtection="1">
      <alignment horizontal="center" vertical="center"/>
      <protection locked="0"/>
    </xf>
    <xf numFmtId="0" fontId="24" fillId="7" borderId="9" xfId="0" applyFont="1" applyFill="1" applyBorder="1" applyAlignment="1">
      <alignment horizontal="left" vertical="top" wrapText="1"/>
    </xf>
    <xf numFmtId="165" fontId="6" fillId="7" borderId="12" xfId="9" applyNumberFormat="1" applyFont="1" applyFill="1" applyBorder="1" applyAlignment="1" applyProtection="1">
      <alignment vertical="top"/>
    </xf>
    <xf numFmtId="0" fontId="6" fillId="6" borderId="19" xfId="10" applyFont="1" applyFill="1" applyBorder="1" applyAlignment="1" applyProtection="1">
      <alignment vertical="center" wrapText="1"/>
      <protection locked="0"/>
    </xf>
    <xf numFmtId="165" fontId="6" fillId="6" borderId="12" xfId="9" applyNumberFormat="1" applyFont="1" applyFill="1" applyBorder="1" applyAlignment="1" applyProtection="1">
      <alignment vertical="top"/>
      <protection locked="0"/>
    </xf>
    <xf numFmtId="0" fontId="6" fillId="6" borderId="9" xfId="10" applyFont="1" applyFill="1" applyBorder="1" applyAlignment="1" applyProtection="1">
      <alignment vertical="center" wrapText="1"/>
      <protection locked="0"/>
    </xf>
    <xf numFmtId="0" fontId="6" fillId="6" borderId="14" xfId="10" applyFont="1" applyFill="1" applyBorder="1" applyAlignment="1" applyProtection="1">
      <alignment vertical="center" wrapText="1"/>
      <protection locked="0"/>
    </xf>
    <xf numFmtId="165" fontId="6" fillId="7" borderId="12" xfId="9" applyNumberFormat="1" applyFont="1" applyFill="1" applyBorder="1" applyAlignment="1" applyProtection="1">
      <alignment vertical="top" wrapText="1"/>
    </xf>
    <xf numFmtId="0" fontId="0" fillId="0" borderId="0" xfId="0" applyAlignment="1">
      <alignment wrapText="1"/>
    </xf>
    <xf numFmtId="0" fontId="6" fillId="6" borderId="19" xfId="10" applyFont="1" applyFill="1" applyBorder="1" applyAlignment="1" applyProtection="1">
      <alignment horizontal="left" vertical="center" wrapText="1"/>
      <protection locked="0"/>
    </xf>
    <xf numFmtId="165" fontId="6" fillId="6" borderId="12" xfId="9" applyNumberFormat="1" applyFont="1" applyFill="1" applyBorder="1" applyAlignment="1" applyProtection="1">
      <alignment vertical="top" wrapText="1"/>
      <protection locked="0"/>
    </xf>
    <xf numFmtId="0" fontId="6" fillId="6" borderId="9" xfId="10" applyFont="1" applyFill="1" applyBorder="1" applyAlignment="1" applyProtection="1">
      <alignment horizontal="left" vertical="center" wrapText="1"/>
      <protection locked="0"/>
    </xf>
    <xf numFmtId="0" fontId="6" fillId="6" borderId="9" xfId="8" applyFont="1" applyFill="1" applyBorder="1" applyAlignment="1" applyProtection="1">
      <alignment horizontal="left" vertical="center" wrapText="1"/>
      <protection locked="0"/>
    </xf>
    <xf numFmtId="0" fontId="6" fillId="0" borderId="9" xfId="10" applyFont="1" applyBorder="1" applyAlignment="1" applyProtection="1">
      <alignment horizontal="left" vertical="center" wrapText="1"/>
      <protection locked="0"/>
    </xf>
    <xf numFmtId="0" fontId="6" fillId="0" borderId="0" xfId="10" applyFont="1" applyAlignment="1" applyProtection="1">
      <alignment wrapText="1"/>
      <protection locked="0"/>
    </xf>
    <xf numFmtId="0" fontId="6" fillId="0" borderId="9" xfId="10" applyFont="1" applyBorder="1" applyAlignment="1" applyProtection="1">
      <alignment wrapText="1"/>
      <protection locked="0"/>
    </xf>
    <xf numFmtId="1" fontId="9" fillId="7" borderId="9" xfId="9" applyNumberFormat="1" applyFont="1" applyFill="1" applyBorder="1" applyAlignment="1" applyProtection="1">
      <alignment horizontal="left" vertical="top" wrapText="1"/>
    </xf>
    <xf numFmtId="167" fontId="0" fillId="0" borderId="0" xfId="1" applyNumberFormat="1" applyFont="1" applyAlignment="1">
      <alignment wrapText="1"/>
    </xf>
    <xf numFmtId="0" fontId="6" fillId="0" borderId="8" xfId="8" applyFont="1" applyBorder="1" applyAlignment="1" applyProtection="1">
      <alignment horizontal="center" vertical="center" wrapText="1"/>
      <protection locked="0"/>
    </xf>
    <xf numFmtId="0" fontId="9" fillId="6" borderId="9" xfId="10" applyFont="1" applyFill="1" applyBorder="1" applyAlignment="1" applyProtection="1">
      <alignment vertical="center" wrapText="1"/>
      <protection locked="0"/>
    </xf>
    <xf numFmtId="165" fontId="6" fillId="7" borderId="12" xfId="9" applyNumberFormat="1" applyFont="1" applyFill="1" applyBorder="1" applyAlignment="1" applyProtection="1">
      <alignment vertical="top" wrapText="1"/>
      <protection locked="0"/>
    </xf>
    <xf numFmtId="0" fontId="6" fillId="6" borderId="9" xfId="10" applyFont="1" applyFill="1" applyBorder="1" applyAlignment="1" applyProtection="1">
      <alignment horizontal="left" vertical="center" wrapText="1" indent="3"/>
      <protection locked="0"/>
    </xf>
    <xf numFmtId="0" fontId="9" fillId="7" borderId="9" xfId="10" applyFont="1" applyFill="1" applyBorder="1" applyAlignment="1" applyProtection="1">
      <alignment vertical="center" wrapText="1"/>
      <protection locked="0"/>
    </xf>
    <xf numFmtId="0" fontId="9" fillId="7" borderId="17" xfId="10" applyFont="1" applyFill="1" applyBorder="1" applyAlignment="1" applyProtection="1">
      <alignment vertical="center" wrapText="1"/>
      <protection locked="0"/>
    </xf>
    <xf numFmtId="165" fontId="6" fillId="7" borderId="18" xfId="9" applyNumberFormat="1" applyFont="1" applyFill="1" applyBorder="1" applyAlignment="1" applyProtection="1">
      <alignment vertical="top" wrapText="1"/>
    </xf>
    <xf numFmtId="0" fontId="0" fillId="0" borderId="9" xfId="0" applyBorder="1" applyAlignment="1">
      <alignment horizontal="center" vertical="center" wrapText="1"/>
    </xf>
    <xf numFmtId="0" fontId="8" fillId="0" borderId="6" xfId="0" applyFont="1" applyBorder="1" applyAlignment="1">
      <alignment horizontal="center"/>
    </xf>
    <xf numFmtId="0" fontId="8" fillId="0" borderId="7" xfId="0" applyFont="1" applyBorder="1" applyAlignment="1">
      <alignment horizontal="center"/>
    </xf>
    <xf numFmtId="0" fontId="5" fillId="0" borderId="12" xfId="0" applyFont="1" applyBorder="1" applyAlignment="1">
      <alignment horizontal="center" vertical="center" wrapText="1"/>
    </xf>
    <xf numFmtId="0" fontId="9" fillId="0" borderId="9" xfId="0" applyFont="1" applyBorder="1" applyAlignment="1">
      <alignment vertical="center" wrapText="1"/>
    </xf>
    <xf numFmtId="165" fontId="5" fillId="0" borderId="9" xfId="0" applyNumberFormat="1" applyFont="1" applyBorder="1" applyAlignment="1">
      <alignment horizontal="right"/>
    </xf>
    <xf numFmtId="165" fontId="5" fillId="7" borderId="9" xfId="0" applyNumberFormat="1" applyFont="1" applyFill="1" applyBorder="1" applyAlignment="1">
      <alignment horizontal="right"/>
    </xf>
    <xf numFmtId="165" fontId="5" fillId="7" borderId="12" xfId="0" applyNumberFormat="1" applyFont="1" applyFill="1" applyBorder="1" applyAlignment="1">
      <alignment horizontal="right"/>
    </xf>
    <xf numFmtId="0" fontId="6" fillId="0" borderId="9" xfId="0" applyFont="1" applyBorder="1" applyAlignment="1">
      <alignment horizontal="left" vertical="center" wrapText="1" indent="1"/>
    </xf>
    <xf numFmtId="0" fontId="3" fillId="0" borderId="9" xfId="0" applyFont="1" applyBorder="1" applyAlignment="1">
      <alignment vertical="center"/>
    </xf>
    <xf numFmtId="0" fontId="28" fillId="0" borderId="9" xfId="0" applyFont="1" applyBorder="1" applyAlignment="1" applyProtection="1">
      <alignment horizontal="left" vertical="center" indent="1"/>
      <protection locked="0"/>
    </xf>
    <xf numFmtId="0" fontId="29" fillId="0" borderId="9" xfId="0" applyFont="1" applyBorder="1" applyAlignment="1" applyProtection="1">
      <alignment horizontal="left" vertical="center" indent="3"/>
      <protection locked="0"/>
    </xf>
    <xf numFmtId="0" fontId="30" fillId="0" borderId="9" xfId="0" applyFont="1" applyBorder="1" applyAlignment="1" applyProtection="1">
      <alignment horizontal="left" vertical="center" indent="3"/>
      <protection locked="0"/>
    </xf>
    <xf numFmtId="165" fontId="0" fillId="0" borderId="0" xfId="0" applyNumberFormat="1"/>
    <xf numFmtId="0" fontId="3" fillId="0" borderId="9" xfId="0" applyFont="1" applyBorder="1"/>
    <xf numFmtId="165" fontId="5" fillId="0" borderId="0" xfId="0" applyNumberFormat="1" applyFont="1" applyAlignment="1">
      <alignment horizontal="right"/>
    </xf>
    <xf numFmtId="0" fontId="31" fillId="0" borderId="0" xfId="0" applyFont="1"/>
    <xf numFmtId="0" fontId="7" fillId="0" borderId="1" xfId="0" applyFont="1" applyBorder="1"/>
    <xf numFmtId="0" fontId="24" fillId="0" borderId="1" xfId="0" applyFont="1" applyBorder="1" applyAlignment="1">
      <alignment horizontal="center"/>
    </xf>
    <xf numFmtId="0" fontId="32" fillId="0" borderId="1" xfId="0" applyFont="1" applyBorder="1" applyAlignment="1">
      <alignment horizontal="center"/>
    </xf>
    <xf numFmtId="0" fontId="7" fillId="0" borderId="37" xfId="0" applyFont="1" applyBorder="1" applyAlignment="1">
      <alignment vertical="center" wrapText="1"/>
    </xf>
    <xf numFmtId="0" fontId="24" fillId="0" borderId="19" xfId="0" applyFont="1" applyBorder="1" applyAlignment="1">
      <alignment vertical="center" wrapText="1"/>
    </xf>
    <xf numFmtId="0" fontId="4"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7" fillId="0" borderId="9" xfId="0" applyFont="1" applyBorder="1" applyAlignment="1">
      <alignment vertical="center" wrapText="1"/>
    </xf>
    <xf numFmtId="3" fontId="34" fillId="7" borderId="9" xfId="0" applyNumberFormat="1" applyFont="1" applyFill="1" applyBorder="1" applyAlignment="1">
      <alignment vertical="center" wrapText="1"/>
    </xf>
    <xf numFmtId="3" fontId="34" fillId="7" borderId="12" xfId="0" applyNumberFormat="1" applyFont="1" applyFill="1" applyBorder="1" applyAlignment="1">
      <alignment vertical="center" wrapText="1"/>
    </xf>
    <xf numFmtId="3" fontId="34" fillId="7" borderId="31" xfId="0" applyNumberFormat="1" applyFont="1" applyFill="1" applyBorder="1" applyAlignment="1">
      <alignment vertical="center" wrapText="1"/>
    </xf>
    <xf numFmtId="167" fontId="35" fillId="8" borderId="0" xfId="1" applyNumberFormat="1" applyFont="1" applyFill="1"/>
    <xf numFmtId="14" fontId="6" fillId="6" borderId="9" xfId="15" quotePrefix="1" applyNumberFormat="1" applyFont="1" applyFill="1" applyBorder="1" applyAlignment="1" applyProtection="1">
      <alignment horizontal="left" vertical="center" wrapText="1" indent="2"/>
      <protection locked="0"/>
    </xf>
    <xf numFmtId="3" fontId="34" fillId="0" borderId="9" xfId="0" applyNumberFormat="1" applyFont="1" applyBorder="1" applyAlignment="1">
      <alignment vertical="center" wrapText="1"/>
    </xf>
    <xf numFmtId="3" fontId="34" fillId="0" borderId="31" xfId="0" applyNumberFormat="1" applyFont="1" applyBorder="1" applyAlignment="1">
      <alignment vertical="center" wrapText="1"/>
    </xf>
    <xf numFmtId="14" fontId="6" fillId="6" borderId="9" xfId="15" quotePrefix="1" applyNumberFormat="1" applyFont="1" applyFill="1" applyBorder="1" applyAlignment="1" applyProtection="1">
      <alignment horizontal="left" vertical="center" wrapText="1" indent="3"/>
      <protection locked="0"/>
    </xf>
    <xf numFmtId="0" fontId="7" fillId="0" borderId="9" xfId="0" applyFont="1" applyBorder="1" applyAlignment="1">
      <alignment horizontal="left" vertical="center" wrapText="1" indent="2"/>
    </xf>
    <xf numFmtId="0" fontId="33" fillId="0" borderId="16" xfId="0" applyFont="1" applyBorder="1" applyAlignment="1">
      <alignment horizontal="center" vertical="center" wrapText="1"/>
    </xf>
    <xf numFmtId="0" fontId="24" fillId="0" borderId="17" xfId="0" applyFont="1" applyBorder="1" applyAlignment="1">
      <alignment vertical="center" wrapText="1"/>
    </xf>
    <xf numFmtId="3" fontId="34" fillId="7" borderId="17" xfId="0" applyNumberFormat="1" applyFont="1" applyFill="1" applyBorder="1" applyAlignment="1">
      <alignment vertical="center" wrapText="1"/>
    </xf>
    <xf numFmtId="3" fontId="34" fillId="7" borderId="18" xfId="0" applyNumberFormat="1" applyFont="1" applyFill="1" applyBorder="1" applyAlignment="1">
      <alignment vertical="center" wrapText="1"/>
    </xf>
    <xf numFmtId="3" fontId="34" fillId="7" borderId="38" xfId="0" applyNumberFormat="1" applyFont="1" applyFill="1" applyBorder="1" applyAlignment="1">
      <alignment vertical="center" wrapText="1"/>
    </xf>
    <xf numFmtId="0" fontId="2" fillId="0" borderId="0" xfId="0" applyFont="1"/>
    <xf numFmtId="0" fontId="36" fillId="0" borderId="0" xfId="3" applyFont="1"/>
    <xf numFmtId="0" fontId="5" fillId="0" borderId="1" xfId="3" applyFont="1" applyBorder="1"/>
    <xf numFmtId="0" fontId="9" fillId="0" borderId="1" xfId="3" applyFont="1" applyBorder="1" applyAlignment="1">
      <alignment horizontal="left" vertical="center"/>
    </xf>
    <xf numFmtId="0" fontId="5" fillId="0" borderId="0" xfId="3" applyFont="1" applyAlignment="1">
      <alignment horizontal="left"/>
    </xf>
    <xf numFmtId="0" fontId="32" fillId="0" borderId="0" xfId="3" applyFont="1" applyAlignment="1">
      <alignment horizontal="right"/>
    </xf>
    <xf numFmtId="0" fontId="6" fillId="0" borderId="5" xfId="3" applyFont="1" applyBorder="1" applyAlignment="1">
      <alignment vertical="center"/>
    </xf>
    <xf numFmtId="0" fontId="6" fillId="0" borderId="6" xfId="3" applyFont="1" applyBorder="1" applyAlignment="1">
      <alignment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37" fillId="0" borderId="0" xfId="3" applyFont="1" applyAlignment="1">
      <alignment vertical="center"/>
    </xf>
    <xf numFmtId="0" fontId="6" fillId="0" borderId="0" xfId="3" applyFont="1" applyAlignment="1">
      <alignment vertical="center"/>
    </xf>
    <xf numFmtId="0" fontId="0" fillId="0" borderId="8" xfId="0" applyBorder="1"/>
    <xf numFmtId="0" fontId="7" fillId="0" borderId="9" xfId="0" applyFont="1" applyBorder="1" applyAlignment="1">
      <alignment horizontal="center" vertical="center" wrapText="1"/>
    </xf>
    <xf numFmtId="0" fontId="7" fillId="0" borderId="20" xfId="0" applyFont="1" applyBorder="1" applyAlignment="1">
      <alignment horizontal="center"/>
    </xf>
    <xf numFmtId="0" fontId="7" fillId="0" borderId="31" xfId="0" applyFont="1" applyBorder="1" applyAlignment="1">
      <alignment horizontal="center"/>
    </xf>
    <xf numFmtId="0" fontId="7" fillId="0" borderId="19" xfId="0" applyFont="1" applyBorder="1" applyAlignment="1">
      <alignment horizontal="center" vertical="center" wrapText="1"/>
    </xf>
    <xf numFmtId="0" fontId="7" fillId="0" borderId="39" xfId="0" applyFont="1" applyBorder="1" applyAlignment="1">
      <alignment horizontal="center" vertical="center" wrapText="1"/>
    </xf>
    <xf numFmtId="43" fontId="7" fillId="0" borderId="9" xfId="1" applyFont="1" applyFill="1" applyBorder="1" applyAlignment="1">
      <alignment vertical="center" wrapText="1"/>
    </xf>
    <xf numFmtId="43" fontId="2" fillId="0" borderId="0" xfId="0" applyNumberFormat="1" applyFont="1"/>
    <xf numFmtId="43" fontId="7" fillId="0" borderId="9" xfId="1" applyFont="1" applyBorder="1" applyAlignment="1">
      <alignment vertical="center"/>
    </xf>
    <xf numFmtId="0" fontId="0" fillId="0" borderId="16" xfId="0" applyBorder="1"/>
    <xf numFmtId="0" fontId="24" fillId="7" borderId="40" xfId="0" applyFont="1" applyFill="1" applyBorder="1" applyAlignment="1">
      <alignment vertical="center" wrapText="1"/>
    </xf>
    <xf numFmtId="170" fontId="24" fillId="7" borderId="17" xfId="0" applyNumberFormat="1" applyFont="1" applyFill="1" applyBorder="1" applyAlignment="1">
      <alignment horizontal="center" vertical="center"/>
    </xf>
    <xf numFmtId="0" fontId="38" fillId="0" borderId="0" xfId="0" applyFont="1" applyAlignment="1">
      <alignment vertical="center"/>
    </xf>
    <xf numFmtId="0" fontId="7" fillId="0" borderId="0" xfId="0" applyFont="1" applyAlignment="1">
      <alignment vertical="center"/>
    </xf>
    <xf numFmtId="0" fontId="9" fillId="0" borderId="0" xfId="3" applyFont="1" applyAlignment="1">
      <alignment horizontal="center" vertical="center" wrapText="1"/>
    </xf>
    <xf numFmtId="0" fontId="0" fillId="0" borderId="5" xfId="0" applyBorder="1" applyAlignment="1">
      <alignment horizontal="center" vertical="center"/>
    </xf>
    <xf numFmtId="0" fontId="24" fillId="7" borderId="41" xfId="0" applyFont="1" applyFill="1" applyBorder="1" applyAlignment="1">
      <alignment wrapText="1"/>
    </xf>
    <xf numFmtId="165" fontId="0" fillId="7" borderId="7" xfId="0" applyNumberFormat="1" applyFill="1" applyBorder="1" applyAlignment="1">
      <alignment horizontal="center" vertical="center"/>
    </xf>
    <xf numFmtId="0" fontId="7" fillId="0" borderId="8" xfId="0" applyFont="1" applyBorder="1" applyAlignment="1">
      <alignment horizontal="center" vertical="center"/>
    </xf>
    <xf numFmtId="0" fontId="7" fillId="0" borderId="21" xfId="0" applyFont="1" applyBorder="1"/>
    <xf numFmtId="165" fontId="0" fillId="0" borderId="12" xfId="0" applyNumberFormat="1" applyBorder="1"/>
    <xf numFmtId="0" fontId="7" fillId="0" borderId="8" xfId="0" applyFont="1" applyBorder="1" applyAlignment="1">
      <alignment horizontal="center" vertical="center" wrapText="1"/>
    </xf>
    <xf numFmtId="0" fontId="7" fillId="0" borderId="21" xfId="0" applyFont="1" applyBorder="1" applyAlignment="1">
      <alignment vertical="center" wrapText="1"/>
    </xf>
    <xf numFmtId="165" fontId="0" fillId="0" borderId="12" xfId="0" applyNumberFormat="1" applyBorder="1" applyAlignment="1">
      <alignment wrapText="1"/>
    </xf>
    <xf numFmtId="0" fontId="24" fillId="7" borderId="21" xfId="0" applyFont="1" applyFill="1" applyBorder="1" applyAlignment="1">
      <alignment wrapText="1"/>
    </xf>
    <xf numFmtId="165" fontId="0" fillId="7" borderId="12" xfId="0" applyNumberFormat="1" applyFill="1" applyBorder="1" applyAlignment="1">
      <alignment horizontal="center" vertical="center" wrapText="1"/>
    </xf>
    <xf numFmtId="0" fontId="7" fillId="0" borderId="21" xfId="0" applyFont="1" applyBorder="1" applyAlignment="1">
      <alignment vertical="center"/>
    </xf>
    <xf numFmtId="0" fontId="7" fillId="0" borderId="21" xfId="0" applyFont="1" applyBorder="1" applyAlignment="1">
      <alignment wrapText="1"/>
    </xf>
    <xf numFmtId="0" fontId="7" fillId="0" borderId="16" xfId="0" applyFont="1" applyBorder="1" applyAlignment="1">
      <alignment horizontal="center" vertical="center" wrapText="1"/>
    </xf>
    <xf numFmtId="0" fontId="24" fillId="7" borderId="42" xfId="0" applyFont="1" applyFill="1" applyBorder="1" applyAlignment="1">
      <alignment wrapText="1"/>
    </xf>
    <xf numFmtId="165" fontId="0" fillId="7" borderId="18" xfId="0" applyNumberFormat="1" applyFill="1" applyBorder="1" applyAlignment="1">
      <alignment horizontal="center" vertical="center" wrapText="1"/>
    </xf>
    <xf numFmtId="0" fontId="7" fillId="0" borderId="0" xfId="0" applyFont="1" applyAlignment="1">
      <alignment horizontal="center" vertical="center"/>
    </xf>
    <xf numFmtId="0" fontId="38" fillId="0" borderId="0" xfId="0" applyFont="1" applyAlignment="1">
      <alignment horizontal="center" vertical="center"/>
    </xf>
    <xf numFmtId="0" fontId="24" fillId="0" borderId="0" xfId="16" applyFont="1" applyAlignment="1" applyProtection="1">
      <alignment horizontal="left" vertical="center"/>
      <protection locked="0"/>
    </xf>
    <xf numFmtId="0" fontId="24" fillId="7" borderId="43" xfId="0" applyFont="1" applyFill="1" applyBorder="1" applyAlignment="1">
      <alignment horizontal="center" vertical="center" wrapText="1"/>
    </xf>
    <xf numFmtId="0" fontId="24" fillId="7" borderId="4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left" vertical="center" wrapText="1"/>
    </xf>
    <xf numFmtId="0" fontId="24" fillId="7" borderId="9"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7" fillId="0" borderId="0" xfId="0" applyFont="1" applyAlignment="1">
      <alignment horizontal="left" vertical="center"/>
    </xf>
    <xf numFmtId="0" fontId="7" fillId="0" borderId="8" xfId="0" applyFont="1" applyBorder="1" applyAlignment="1">
      <alignment horizontal="right" vertical="center" wrapText="1"/>
    </xf>
    <xf numFmtId="0" fontId="7" fillId="0" borderId="9" xfId="0" applyFont="1" applyBorder="1" applyAlignment="1">
      <alignment horizontal="left" vertical="center" wrapText="1"/>
    </xf>
    <xf numFmtId="10" fontId="6" fillId="0" borderId="9" xfId="2" applyNumberFormat="1" applyFont="1" applyFill="1" applyBorder="1" applyAlignment="1">
      <alignment horizontal="left" vertical="center" wrapText="1"/>
    </xf>
    <xf numFmtId="167" fontId="7" fillId="0" borderId="12" xfId="1" applyNumberFormat="1" applyFont="1" applyBorder="1" applyAlignment="1">
      <alignment horizontal="right" vertical="center" wrapText="1"/>
    </xf>
    <xf numFmtId="10" fontId="24" fillId="7" borderId="9" xfId="0" applyNumberFormat="1" applyFont="1" applyFill="1" applyBorder="1" applyAlignment="1">
      <alignment horizontal="left" vertical="center" wrapText="1"/>
    </xf>
    <xf numFmtId="167" fontId="24" fillId="7" borderId="12" xfId="1" applyNumberFormat="1" applyFont="1" applyFill="1" applyBorder="1" applyAlignment="1">
      <alignment horizontal="right" vertical="center" wrapText="1"/>
    </xf>
    <xf numFmtId="0" fontId="40" fillId="0" borderId="8" xfId="0" applyFont="1" applyBorder="1" applyAlignment="1">
      <alignment horizontal="right" vertical="center" wrapText="1"/>
    </xf>
    <xf numFmtId="0" fontId="40" fillId="0" borderId="9" xfId="0" applyFont="1" applyBorder="1" applyAlignment="1">
      <alignment horizontal="left" vertical="center" wrapText="1"/>
    </xf>
    <xf numFmtId="10" fontId="40" fillId="0" borderId="9" xfId="2" applyNumberFormat="1" applyFont="1" applyFill="1" applyBorder="1" applyAlignment="1">
      <alignment horizontal="left" vertical="center" wrapText="1"/>
    </xf>
    <xf numFmtId="167" fontId="40" fillId="0" borderId="12" xfId="1" applyNumberFormat="1" applyFont="1" applyBorder="1" applyAlignment="1">
      <alignment horizontal="right" vertical="center" wrapText="1"/>
    </xf>
    <xf numFmtId="0" fontId="40" fillId="0" borderId="0" xfId="0" applyFont="1" applyAlignment="1">
      <alignment horizontal="left" vertical="center"/>
    </xf>
    <xf numFmtId="10" fontId="24" fillId="7" borderId="9" xfId="2" applyNumberFormat="1" applyFont="1" applyFill="1" applyBorder="1" applyAlignment="1">
      <alignment horizontal="left" vertical="center" wrapText="1"/>
    </xf>
    <xf numFmtId="49" fontId="40" fillId="0" borderId="8" xfId="0" applyNumberFormat="1" applyFont="1" applyBorder="1" applyAlignment="1">
      <alignment horizontal="right" vertical="center" wrapText="1"/>
    </xf>
    <xf numFmtId="0" fontId="24" fillId="7" borderId="45" xfId="0" applyFont="1" applyFill="1" applyBorder="1" applyAlignment="1">
      <alignment horizontal="center" vertical="center" wrapText="1"/>
    </xf>
    <xf numFmtId="0" fontId="24" fillId="7" borderId="22" xfId="0" applyFont="1" applyFill="1" applyBorder="1" applyAlignment="1">
      <alignment horizontal="center" vertical="center" wrapText="1"/>
    </xf>
    <xf numFmtId="10" fontId="24" fillId="7" borderId="9" xfId="0" applyNumberFormat="1" applyFont="1" applyFill="1" applyBorder="1" applyAlignment="1">
      <alignment horizontal="center" vertical="center" wrapText="1"/>
    </xf>
    <xf numFmtId="1" fontId="24" fillId="7" borderId="12"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9" fontId="41" fillId="0" borderId="16" xfId="17" applyNumberFormat="1" applyFont="1" applyBorder="1" applyAlignment="1" applyProtection="1">
      <alignment horizontal="left" vertical="center"/>
      <protection locked="0"/>
    </xf>
    <xf numFmtId="0" fontId="42" fillId="0" borderId="17" xfId="8" applyFont="1" applyBorder="1" applyAlignment="1" applyProtection="1">
      <alignment horizontal="left" vertical="center" wrapText="1"/>
      <protection locked="0"/>
    </xf>
    <xf numFmtId="10" fontId="42" fillId="0" borderId="17" xfId="2" applyNumberFormat="1" applyFont="1" applyFill="1" applyBorder="1" applyAlignment="1" applyProtection="1">
      <alignment horizontal="left" vertical="center"/>
    </xf>
    <xf numFmtId="167" fontId="6" fillId="0" borderId="18" xfId="1" applyNumberFormat="1" applyFont="1" applyFill="1" applyBorder="1" applyAlignment="1" applyProtection="1">
      <alignment horizontal="right" vertical="center"/>
    </xf>
    <xf numFmtId="0" fontId="38" fillId="0" borderId="0" xfId="0" applyFont="1"/>
    <xf numFmtId="0" fontId="8" fillId="0" borderId="0" xfId="3" applyFont="1"/>
    <xf numFmtId="0" fontId="8" fillId="0" borderId="0" xfId="3" applyFont="1" applyAlignment="1">
      <alignment horizontal="center"/>
    </xf>
    <xf numFmtId="0" fontId="32" fillId="0" borderId="0" xfId="0" applyFont="1" applyAlignment="1" applyProtection="1">
      <alignment horizontal="right"/>
      <protection locked="0"/>
    </xf>
    <xf numFmtId="0" fontId="7" fillId="0" borderId="46"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43" fontId="43" fillId="0" borderId="49" xfId="1" applyFont="1" applyBorder="1" applyAlignment="1">
      <alignment horizontal="center" vertical="center"/>
    </xf>
    <xf numFmtId="170" fontId="38" fillId="0" borderId="50" xfId="0" applyNumberFormat="1" applyFont="1" applyBorder="1" applyAlignment="1">
      <alignment horizontal="center"/>
    </xf>
    <xf numFmtId="170" fontId="0" fillId="0" borderId="0" xfId="0" applyNumberFormat="1" applyAlignment="1">
      <alignment horizontal="center"/>
    </xf>
    <xf numFmtId="43" fontId="38" fillId="0" borderId="51" xfId="1" applyFont="1" applyBorder="1" applyAlignment="1">
      <alignment horizontal="center" vertical="center"/>
    </xf>
    <xf numFmtId="170" fontId="38" fillId="0" borderId="52" xfId="0" applyNumberFormat="1" applyFont="1" applyBorder="1" applyAlignment="1">
      <alignment horizontal="center"/>
    </xf>
    <xf numFmtId="170" fontId="44" fillId="0" borderId="52" xfId="0" applyNumberFormat="1" applyFont="1" applyBorder="1" applyAlignment="1">
      <alignment horizontal="center"/>
    </xf>
    <xf numFmtId="170" fontId="25" fillId="0" borderId="0" xfId="0" applyNumberFormat="1" applyFont="1" applyAlignment="1">
      <alignment horizontal="center"/>
    </xf>
    <xf numFmtId="43" fontId="45" fillId="0" borderId="51" xfId="1" applyFont="1" applyBorder="1" applyAlignment="1">
      <alignment horizontal="center" vertical="center"/>
    </xf>
    <xf numFmtId="43" fontId="43" fillId="0" borderId="51" xfId="1" applyFont="1" applyBorder="1" applyAlignment="1">
      <alignment horizontal="center" vertical="center"/>
    </xf>
    <xf numFmtId="43" fontId="44" fillId="0" borderId="51" xfId="1" applyFont="1" applyBorder="1" applyAlignment="1">
      <alignment horizontal="center" vertical="center"/>
    </xf>
    <xf numFmtId="170" fontId="32" fillId="0" borderId="52" xfId="0" applyNumberFormat="1" applyFont="1" applyBorder="1" applyAlignment="1">
      <alignment horizontal="center"/>
    </xf>
    <xf numFmtId="43" fontId="38" fillId="0" borderId="53" xfId="1" applyFont="1" applyBorder="1" applyAlignment="1">
      <alignment horizontal="center" vertical="center"/>
    </xf>
    <xf numFmtId="170" fontId="38" fillId="0" borderId="54" xfId="0" applyNumberFormat="1" applyFont="1" applyBorder="1" applyAlignment="1">
      <alignment horizontal="center"/>
    </xf>
    <xf numFmtId="170" fontId="43" fillId="0" borderId="55" xfId="0" applyNumberFormat="1" applyFont="1" applyBorder="1" applyAlignment="1">
      <alignment horizontal="center"/>
    </xf>
    <xf numFmtId="170" fontId="3" fillId="0" borderId="0" xfId="0" applyNumberFormat="1" applyFont="1" applyAlignment="1">
      <alignment horizontal="center"/>
    </xf>
    <xf numFmtId="43" fontId="43" fillId="0" borderId="56" xfId="1" applyFont="1" applyBorder="1" applyAlignment="1">
      <alignment horizontal="center" vertical="center"/>
    </xf>
    <xf numFmtId="170" fontId="44" fillId="2" borderId="57" xfId="0" applyNumberFormat="1" applyFont="1" applyFill="1" applyBorder="1" applyAlignment="1">
      <alignment horizontal="center"/>
    </xf>
    <xf numFmtId="43" fontId="43" fillId="0" borderId="53" xfId="1" applyFont="1" applyBorder="1" applyAlignment="1">
      <alignment horizontal="center" vertical="center"/>
    </xf>
    <xf numFmtId="43" fontId="44" fillId="0" borderId="53" xfId="1" applyFont="1" applyBorder="1" applyAlignment="1">
      <alignment vertical="center"/>
    </xf>
    <xf numFmtId="170" fontId="38" fillId="0" borderId="58" xfId="0" applyNumberFormat="1" applyFont="1" applyBorder="1" applyAlignment="1">
      <alignment horizontal="center"/>
    </xf>
    <xf numFmtId="43" fontId="43" fillId="0" borderId="59" xfId="1" applyFont="1" applyBorder="1" applyAlignment="1">
      <alignment horizontal="center" vertical="center"/>
    </xf>
    <xf numFmtId="0" fontId="0" fillId="0" borderId="14" xfId="0" applyBorder="1" applyAlignment="1">
      <alignment horizontal="center"/>
    </xf>
    <xf numFmtId="0" fontId="17" fillId="0" borderId="14" xfId="5" applyFont="1" applyBorder="1" applyAlignment="1">
      <alignment horizontal="left" vertical="center" wrapText="1" indent="1"/>
    </xf>
    <xf numFmtId="0" fontId="17" fillId="6" borderId="9" xfId="0" applyFont="1" applyFill="1" applyBorder="1" applyAlignment="1">
      <alignment horizontal="left" vertical="center" wrapText="1" indent="1"/>
    </xf>
    <xf numFmtId="170" fontId="38" fillId="0" borderId="9" xfId="0" applyNumberFormat="1" applyFont="1" applyBorder="1" applyAlignment="1">
      <alignment horizontal="center"/>
    </xf>
    <xf numFmtId="43" fontId="43" fillId="0" borderId="9" xfId="1" applyFont="1" applyBorder="1" applyAlignment="1">
      <alignment horizontal="center"/>
    </xf>
    <xf numFmtId="0" fontId="38" fillId="0" borderId="9" xfId="0" applyFont="1" applyBorder="1"/>
    <xf numFmtId="0" fontId="17" fillId="0" borderId="9" xfId="0" applyFont="1" applyBorder="1" applyAlignment="1">
      <alignment horizontal="left" vertical="center" wrapText="1" indent="1"/>
    </xf>
    <xf numFmtId="43" fontId="38" fillId="0" borderId="9" xfId="1" applyFont="1" applyBorder="1" applyAlignment="1">
      <alignment horizontal="center"/>
    </xf>
    <xf numFmtId="43" fontId="43" fillId="0" borderId="9" xfId="1" applyFont="1" applyBorder="1" applyAlignment="1">
      <alignment horizontal="center" vertical="center"/>
    </xf>
    <xf numFmtId="43" fontId="38" fillId="0" borderId="9" xfId="1" applyFont="1" applyBorder="1" applyAlignment="1">
      <alignment horizontal="center" vertical="center"/>
    </xf>
    <xf numFmtId="0" fontId="19" fillId="6" borderId="9" xfId="0" applyFont="1" applyFill="1" applyBorder="1" applyAlignment="1">
      <alignment horizontal="left" vertical="center" wrapText="1" indent="1"/>
    </xf>
    <xf numFmtId="0" fontId="19" fillId="0" borderId="9" xfId="0" applyFont="1" applyBorder="1" applyAlignment="1">
      <alignment horizontal="left" vertical="center" wrapText="1" indent="1"/>
    </xf>
    <xf numFmtId="167" fontId="38" fillId="0" borderId="0" xfId="1" applyNumberFormat="1" applyFont="1"/>
    <xf numFmtId="0" fontId="24" fillId="0" borderId="0" xfId="0" applyFont="1" applyAlignment="1">
      <alignment horizontal="center" wrapText="1"/>
    </xf>
    <xf numFmtId="0" fontId="7" fillId="0" borderId="60" xfId="0" applyFont="1" applyBorder="1"/>
    <xf numFmtId="0" fontId="7" fillId="0" borderId="61" xfId="0" applyFont="1" applyBorder="1"/>
    <xf numFmtId="0" fontId="7" fillId="0" borderId="6" xfId="0" applyFont="1" applyBorder="1" applyAlignment="1">
      <alignment horizontal="center" vertical="center"/>
    </xf>
    <xf numFmtId="0" fontId="7" fillId="0" borderId="30"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xf numFmtId="0" fontId="7" fillId="0" borderId="14" xfId="0" applyFont="1" applyBorder="1" applyAlignment="1">
      <alignment horizontal="center" vertical="center" wrapText="1"/>
    </xf>
    <xf numFmtId="9" fontId="7" fillId="0" borderId="20" xfId="0" applyNumberFormat="1" applyFont="1" applyBorder="1" applyAlignment="1">
      <alignment horizontal="center" vertical="center"/>
    </xf>
    <xf numFmtId="9" fontId="7" fillId="0" borderId="22" xfId="0" applyNumberFormat="1" applyFont="1" applyBorder="1" applyAlignment="1">
      <alignment horizontal="center" vertical="center"/>
    </xf>
    <xf numFmtId="0" fontId="46" fillId="6" borderId="15" xfId="10" applyFont="1" applyFill="1" applyBorder="1" applyAlignment="1" applyProtection="1">
      <alignment horizontal="center" vertical="center" wrapText="1"/>
      <protection locked="0"/>
    </xf>
    <xf numFmtId="0" fontId="7" fillId="0" borderId="19" xfId="0" applyFont="1" applyBorder="1" applyAlignment="1">
      <alignment horizontal="center" vertical="center" wrapText="1"/>
    </xf>
    <xf numFmtId="9" fontId="47" fillId="0" borderId="9" xfId="0" applyNumberFormat="1" applyFont="1" applyBorder="1" applyAlignment="1">
      <alignment horizontal="center" vertical="center"/>
    </xf>
    <xf numFmtId="0" fontId="46" fillId="6" borderId="39" xfId="10" applyFont="1" applyFill="1" applyBorder="1" applyAlignment="1" applyProtection="1">
      <alignment horizontal="center" vertical="center" wrapText="1"/>
      <protection locked="0"/>
    </xf>
    <xf numFmtId="0" fontId="7" fillId="0" borderId="8" xfId="0" applyFont="1" applyBorder="1" applyAlignment="1">
      <alignment vertical="center"/>
    </xf>
    <xf numFmtId="0" fontId="6" fillId="6" borderId="9" xfId="10" applyFont="1" applyFill="1" applyBorder="1" applyAlignment="1" applyProtection="1">
      <alignment horizontal="left" vertical="center"/>
      <protection locked="0"/>
    </xf>
    <xf numFmtId="165" fontId="7" fillId="0" borderId="9" xfId="0" applyNumberFormat="1" applyFont="1" applyBorder="1"/>
    <xf numFmtId="165" fontId="7" fillId="0" borderId="20" xfId="0" applyNumberFormat="1" applyFont="1" applyBorder="1"/>
    <xf numFmtId="170" fontId="7" fillId="0" borderId="12" xfId="0" applyNumberFormat="1" applyFont="1" applyBorder="1"/>
    <xf numFmtId="0" fontId="6" fillId="6" borderId="16" xfId="8" applyFont="1" applyFill="1" applyBorder="1" applyAlignment="1" applyProtection="1">
      <alignment horizontal="left" vertical="center"/>
      <protection locked="0"/>
    </xf>
    <xf numFmtId="0" fontId="9" fillId="6" borderId="17" xfId="13" applyFont="1" applyFill="1" applyBorder="1" applyProtection="1">
      <protection locked="0"/>
    </xf>
    <xf numFmtId="165" fontId="7" fillId="7" borderId="17" xfId="0" applyNumberFormat="1" applyFont="1" applyFill="1" applyBorder="1"/>
    <xf numFmtId="167" fontId="7" fillId="7" borderId="18" xfId="1" applyNumberFormat="1" applyFont="1" applyFill="1" applyBorder="1"/>
    <xf numFmtId="0" fontId="7" fillId="0" borderId="5" xfId="0" applyFont="1" applyBorder="1"/>
    <xf numFmtId="0" fontId="7" fillId="0" borderId="7" xfId="0" applyFont="1" applyBorder="1"/>
    <xf numFmtId="167" fontId="9" fillId="6" borderId="5" xfId="14" applyNumberFormat="1" applyFont="1" applyFill="1" applyBorder="1" applyAlignment="1" applyProtection="1">
      <alignment horizontal="center"/>
      <protection locked="0"/>
    </xf>
    <xf numFmtId="167" fontId="9" fillId="6" borderId="6" xfId="14" applyNumberFormat="1" applyFont="1" applyFill="1" applyBorder="1" applyAlignment="1" applyProtection="1">
      <alignment horizontal="center"/>
      <protection locked="0"/>
    </xf>
    <xf numFmtId="167" fontId="9" fillId="6" borderId="7" xfId="14" applyNumberFormat="1" applyFont="1" applyFill="1" applyBorder="1" applyAlignment="1" applyProtection="1">
      <alignment horizontal="center"/>
      <protection locked="0"/>
    </xf>
    <xf numFmtId="167" fontId="9" fillId="0" borderId="62" xfId="14" applyNumberFormat="1" applyFont="1" applyFill="1" applyBorder="1" applyAlignment="1" applyProtection="1">
      <alignment horizontal="center" vertical="center" wrapText="1"/>
      <protection locked="0"/>
    </xf>
    <xf numFmtId="0" fontId="24" fillId="0" borderId="63" xfId="0" applyFont="1" applyBorder="1" applyAlignment="1">
      <alignment horizontal="center" vertical="center" wrapText="1"/>
    </xf>
    <xf numFmtId="0" fontId="7" fillId="0" borderId="12" xfId="0" applyFont="1" applyBorder="1" applyAlignment="1">
      <alignment horizontal="center" vertical="center"/>
    </xf>
    <xf numFmtId="167" fontId="6" fillId="6" borderId="8" xfId="14" applyNumberFormat="1" applyFont="1" applyFill="1" applyBorder="1" applyAlignment="1" applyProtection="1">
      <alignment horizontal="center" vertical="center" wrapText="1"/>
      <protection locked="0"/>
    </xf>
    <xf numFmtId="167" fontId="6" fillId="6" borderId="9" xfId="14" applyNumberFormat="1" applyFont="1" applyFill="1" applyBorder="1" applyAlignment="1" applyProtection="1">
      <alignment horizontal="center" vertical="center" wrapText="1"/>
      <protection locked="0"/>
    </xf>
    <xf numFmtId="0" fontId="6" fillId="0" borderId="9" xfId="10" applyFont="1" applyBorder="1" applyAlignment="1" applyProtection="1">
      <alignment horizontal="center" vertical="center" wrapText="1"/>
      <protection locked="0"/>
    </xf>
    <xf numFmtId="167" fontId="6" fillId="6" borderId="12" xfId="14" applyNumberFormat="1" applyFont="1" applyFill="1" applyBorder="1" applyAlignment="1" applyProtection="1">
      <alignment horizontal="center" vertical="center" wrapText="1"/>
      <protection locked="0"/>
    </xf>
    <xf numFmtId="167" fontId="9" fillId="0" borderId="64" xfId="14" applyNumberFormat="1" applyFont="1" applyFill="1" applyBorder="1" applyAlignment="1" applyProtection="1">
      <alignment horizontal="center" vertical="center" wrapText="1"/>
      <protection locked="0"/>
    </xf>
    <xf numFmtId="0" fontId="24" fillId="0" borderId="65" xfId="0" applyFont="1" applyBorder="1" applyAlignment="1">
      <alignment horizontal="center" vertical="center" wrapText="1"/>
    </xf>
    <xf numFmtId="0" fontId="6" fillId="6" borderId="8" xfId="17" applyFont="1" applyFill="1" applyBorder="1" applyAlignment="1" applyProtection="1">
      <alignment horizontal="right" vertical="center"/>
      <protection locked="0"/>
    </xf>
    <xf numFmtId="0" fontId="6" fillId="6" borderId="12" xfId="10" applyFont="1" applyFill="1" applyBorder="1" applyAlignment="1" applyProtection="1">
      <alignment horizontal="left" vertical="center"/>
      <protection locked="0"/>
    </xf>
    <xf numFmtId="165" fontId="7" fillId="0" borderId="8" xfId="0" applyNumberFormat="1" applyFont="1" applyBorder="1"/>
    <xf numFmtId="165" fontId="7" fillId="0" borderId="12" xfId="0" applyNumberFormat="1" applyFont="1" applyBorder="1"/>
    <xf numFmtId="165" fontId="7" fillId="0" borderId="31" xfId="0" applyNumberFormat="1" applyFont="1" applyBorder="1" applyAlignment="1">
      <alignment wrapText="1"/>
    </xf>
    <xf numFmtId="165" fontId="7" fillId="0" borderId="31" xfId="0" applyNumberFormat="1" applyFont="1" applyBorder="1"/>
    <xf numFmtId="165" fontId="7" fillId="7" borderId="65" xfId="0" applyNumberFormat="1" applyFont="1" applyFill="1" applyBorder="1"/>
    <xf numFmtId="0" fontId="9" fillId="6" borderId="18" xfId="13" applyFont="1" applyFill="1" applyBorder="1" applyProtection="1">
      <protection locked="0"/>
    </xf>
    <xf numFmtId="165" fontId="7" fillId="7" borderId="16" xfId="0" applyNumberFormat="1" applyFont="1" applyFill="1" applyBorder="1"/>
    <xf numFmtId="165" fontId="7" fillId="7" borderId="18" xfId="0" applyNumberFormat="1" applyFont="1" applyFill="1" applyBorder="1"/>
    <xf numFmtId="165" fontId="7" fillId="7" borderId="66" xfId="0" applyNumberFormat="1" applyFont="1" applyFill="1" applyBorder="1"/>
    <xf numFmtId="0" fontId="7" fillId="0" borderId="0" xfId="0" applyFont="1" applyAlignment="1">
      <alignment horizontal="center" vertical="center" wrapText="1"/>
    </xf>
    <xf numFmtId="0" fontId="7" fillId="0" borderId="0" xfId="0" applyFont="1" applyAlignment="1">
      <alignment vertical="center" wrapText="1"/>
    </xf>
    <xf numFmtId="0" fontId="7" fillId="0" borderId="6" xfId="0" applyFont="1" applyBorder="1"/>
    <xf numFmtId="0" fontId="7" fillId="0" borderId="6" xfId="0" applyFont="1" applyBorder="1" applyAlignment="1">
      <alignment wrapText="1"/>
    </xf>
    <xf numFmtId="0" fontId="7" fillId="0" borderId="30" xfId="0" applyFont="1" applyBorder="1" applyAlignment="1">
      <alignment wrapText="1"/>
    </xf>
    <xf numFmtId="0" fontId="7" fillId="0" borderId="7" xfId="0" applyFont="1" applyBorder="1" applyAlignment="1">
      <alignment wrapText="1"/>
    </xf>
    <xf numFmtId="0" fontId="31" fillId="0" borderId="0" xfId="0" applyFont="1" applyAlignment="1">
      <alignment wrapText="1"/>
    </xf>
    <xf numFmtId="0" fontId="7" fillId="0" borderId="19" xfId="0" applyFont="1" applyBorder="1"/>
    <xf numFmtId="0" fontId="7" fillId="0" borderId="20" xfId="0" applyFont="1" applyBorder="1" applyAlignment="1">
      <alignment horizontal="center" wrapText="1"/>
    </xf>
    <xf numFmtId="0" fontId="7" fillId="0" borderId="22" xfId="0" applyFont="1" applyBorder="1" applyAlignment="1">
      <alignment horizont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8" xfId="0" applyFont="1" applyBorder="1"/>
    <xf numFmtId="9" fontId="7" fillId="0" borderId="12" xfId="2" applyFont="1" applyBorder="1"/>
    <xf numFmtId="0" fontId="7" fillId="0" borderId="16" xfId="0" applyFont="1" applyBorder="1"/>
    <xf numFmtId="0" fontId="24" fillId="0" borderId="17" xfId="0" applyFont="1" applyBorder="1"/>
    <xf numFmtId="9" fontId="7" fillId="7" borderId="18" xfId="2" applyFont="1" applyFill="1" applyBorder="1"/>
    <xf numFmtId="0" fontId="7" fillId="0" borderId="0" xfId="0" applyFont="1" applyAlignment="1">
      <alignment horizontal="left"/>
    </xf>
    <xf numFmtId="0" fontId="48" fillId="0" borderId="60" xfId="0" applyFont="1" applyBorder="1" applyAlignment="1">
      <alignment horizontal="left" vertical="center"/>
    </xf>
    <xf numFmtId="0" fontId="48" fillId="0" borderId="61" xfId="0" applyFont="1" applyBorder="1" applyAlignment="1">
      <alignment horizontal="left" vertical="center"/>
    </xf>
    <xf numFmtId="0" fontId="7" fillId="0" borderId="61" xfId="0" applyFont="1" applyBorder="1" applyAlignment="1">
      <alignment horizontal="center" vertical="center" wrapText="1"/>
    </xf>
    <xf numFmtId="0" fontId="7" fillId="0" borderId="67" xfId="0" applyFont="1" applyBorder="1" applyAlignment="1">
      <alignment horizontal="center" vertical="center" wrapText="1"/>
    </xf>
    <xf numFmtId="0" fontId="48" fillId="6" borderId="68" xfId="0" applyFont="1" applyFill="1" applyBorder="1" applyAlignment="1">
      <alignment horizontal="left"/>
    </xf>
    <xf numFmtId="0" fontId="48" fillId="6" borderId="69" xfId="0" applyFont="1" applyFill="1" applyBorder="1" applyAlignment="1">
      <alignment horizontal="left"/>
    </xf>
    <xf numFmtId="0" fontId="7" fillId="0" borderId="12" xfId="0" applyFont="1" applyBorder="1" applyAlignment="1">
      <alignment horizontal="center" vertical="center" wrapText="1"/>
    </xf>
    <xf numFmtId="0" fontId="24" fillId="6" borderId="45" xfId="0" applyFont="1" applyFill="1" applyBorder="1" applyAlignment="1">
      <alignment vertical="center"/>
    </xf>
    <xf numFmtId="0" fontId="7" fillId="6" borderId="21" xfId="0" applyFont="1" applyFill="1" applyBorder="1" applyAlignment="1">
      <alignment vertical="center"/>
    </xf>
    <xf numFmtId="0" fontId="7" fillId="6" borderId="31" xfId="0" applyFont="1" applyFill="1" applyBorder="1" applyAlignment="1">
      <alignment vertical="center"/>
    </xf>
    <xf numFmtId="0" fontId="7" fillId="0" borderId="37" xfId="0" applyFont="1" applyBorder="1" applyAlignment="1">
      <alignment horizontal="center" vertical="center"/>
    </xf>
    <xf numFmtId="0" fontId="7" fillId="0" borderId="19" xfId="0" applyFont="1" applyBorder="1" applyAlignment="1">
      <alignment vertical="center"/>
    </xf>
    <xf numFmtId="167" fontId="7" fillId="0" borderId="34" xfId="1" applyNumberFormat="1" applyFont="1" applyBorder="1" applyAlignment="1">
      <alignment vertical="center"/>
    </xf>
    <xf numFmtId="167" fontId="7" fillId="0" borderId="39" xfId="1" applyNumberFormat="1" applyFont="1" applyBorder="1" applyAlignment="1">
      <alignment vertical="center"/>
    </xf>
    <xf numFmtId="167" fontId="7" fillId="6" borderId="21" xfId="1" applyNumberFormat="1" applyFont="1" applyFill="1" applyBorder="1" applyAlignment="1">
      <alignment vertical="center"/>
    </xf>
    <xf numFmtId="167" fontId="7" fillId="6" borderId="31" xfId="1" applyNumberFormat="1" applyFont="1" applyFill="1" applyBorder="1" applyAlignment="1">
      <alignment vertical="center"/>
    </xf>
    <xf numFmtId="0" fontId="7" fillId="0" borderId="9" xfId="0" applyFont="1" applyBorder="1" applyAlignment="1">
      <alignment vertical="center"/>
    </xf>
    <xf numFmtId="167" fontId="7" fillId="0" borderId="20" xfId="1" applyNumberFormat="1" applyFont="1" applyBorder="1" applyAlignment="1">
      <alignment vertical="center"/>
    </xf>
    <xf numFmtId="167" fontId="7" fillId="0" borderId="12" xfId="1" applyNumberFormat="1" applyFont="1" applyBorder="1" applyAlignment="1">
      <alignment vertical="center"/>
    </xf>
    <xf numFmtId="0" fontId="24" fillId="0" borderId="9" xfId="0" applyFont="1" applyBorder="1" applyAlignment="1">
      <alignment vertical="center"/>
    </xf>
    <xf numFmtId="167" fontId="7" fillId="6" borderId="21" xfId="0" applyNumberFormat="1" applyFont="1" applyFill="1" applyBorder="1" applyAlignment="1">
      <alignment vertical="center"/>
    </xf>
    <xf numFmtId="167" fontId="7" fillId="0" borderId="9" xfId="0" applyNumberFormat="1" applyFont="1" applyBorder="1" applyAlignment="1">
      <alignment vertical="center"/>
    </xf>
    <xf numFmtId="167" fontId="7" fillId="0" borderId="20" xfId="0" applyNumberFormat="1" applyFont="1" applyBorder="1" applyAlignment="1">
      <alignment vertical="center"/>
    </xf>
    <xf numFmtId="0" fontId="7" fillId="0" borderId="16" xfId="0" applyFont="1" applyBorder="1" applyAlignment="1">
      <alignment horizontal="center" vertical="center"/>
    </xf>
    <xf numFmtId="0" fontId="24" fillId="0" borderId="17" xfId="0" applyFont="1" applyBorder="1" applyAlignment="1">
      <alignment vertical="center"/>
    </xf>
    <xf numFmtId="167" fontId="7" fillId="0" borderId="17" xfId="1" applyNumberFormat="1" applyFont="1" applyBorder="1" applyAlignment="1">
      <alignment vertical="center"/>
    </xf>
    <xf numFmtId="167" fontId="7" fillId="0" borderId="33" xfId="1" applyNumberFormat="1" applyFont="1" applyBorder="1" applyAlignment="1">
      <alignment vertical="center"/>
    </xf>
    <xf numFmtId="167" fontId="7" fillId="0" borderId="18" xfId="1" applyNumberFormat="1" applyFont="1" applyBorder="1" applyAlignment="1">
      <alignment vertical="center"/>
    </xf>
    <xf numFmtId="0" fontId="7" fillId="6" borderId="11" xfId="0" applyFont="1" applyFill="1" applyBorder="1" applyAlignment="1">
      <alignment horizontal="center" vertical="center"/>
    </xf>
    <xf numFmtId="0" fontId="7" fillId="6" borderId="0" xfId="0" applyFont="1" applyFill="1" applyAlignment="1">
      <alignment vertical="center"/>
    </xf>
    <xf numFmtId="0" fontId="7" fillId="0" borderId="47" xfId="0" applyFont="1" applyBorder="1" applyAlignment="1">
      <alignment horizontal="center" vertical="center" wrapText="1"/>
    </xf>
    <xf numFmtId="0" fontId="7" fillId="0" borderId="5" xfId="0" applyFont="1" applyBorder="1" applyAlignment="1">
      <alignment horizontal="center" vertical="center"/>
    </xf>
    <xf numFmtId="0" fontId="7" fillId="0" borderId="30" xfId="0" applyFont="1" applyBorder="1" applyAlignment="1">
      <alignment vertical="center"/>
    </xf>
    <xf numFmtId="164" fontId="12" fillId="3" borderId="60" xfId="4" applyBorder="1"/>
    <xf numFmtId="164" fontId="12" fillId="3" borderId="61" xfId="4" applyBorder="1"/>
    <xf numFmtId="167" fontId="7" fillId="0" borderId="30" xfId="1" applyNumberFormat="1" applyFont="1" applyBorder="1" applyAlignment="1">
      <alignment vertical="center"/>
    </xf>
    <xf numFmtId="43" fontId="7" fillId="0" borderId="30" xfId="1" applyFont="1" applyBorder="1" applyAlignment="1">
      <alignment vertical="center"/>
    </xf>
    <xf numFmtId="43" fontId="7" fillId="0" borderId="7" xfId="1" applyFont="1" applyBorder="1" applyAlignment="1">
      <alignment vertical="center"/>
    </xf>
    <xf numFmtId="0" fontId="7" fillId="0" borderId="13" xfId="0" applyFont="1" applyBorder="1" applyAlignment="1">
      <alignment horizontal="center" vertical="center"/>
    </xf>
    <xf numFmtId="0" fontId="7" fillId="0" borderId="32" xfId="0" applyFont="1" applyBorder="1" applyAlignment="1">
      <alignment vertical="center"/>
    </xf>
    <xf numFmtId="164" fontId="12" fillId="3" borderId="70" xfId="4" applyBorder="1"/>
    <xf numFmtId="164" fontId="12" fillId="3" borderId="42" xfId="4" applyBorder="1"/>
    <xf numFmtId="164" fontId="12" fillId="3" borderId="40" xfId="4" applyBorder="1"/>
    <xf numFmtId="167" fontId="7" fillId="0" borderId="32" xfId="1" applyNumberFormat="1" applyFont="1" applyBorder="1" applyAlignment="1">
      <alignment vertical="center"/>
    </xf>
    <xf numFmtId="43" fontId="7" fillId="0" borderId="32" xfId="1" applyFont="1" applyBorder="1" applyAlignment="1">
      <alignment vertical="center"/>
    </xf>
    <xf numFmtId="43" fontId="7" fillId="0" borderId="15" xfId="1" applyFont="1" applyBorder="1" applyAlignment="1">
      <alignment vertical="center"/>
    </xf>
    <xf numFmtId="0" fontId="7" fillId="0" borderId="71" xfId="0" applyFont="1" applyBorder="1" applyAlignment="1">
      <alignment horizontal="center" vertical="center"/>
    </xf>
    <xf numFmtId="0" fontId="7" fillId="0" borderId="72" xfId="0" applyFont="1" applyBorder="1" applyAlignment="1">
      <alignment vertical="center"/>
    </xf>
    <xf numFmtId="164" fontId="12" fillId="3" borderId="2" xfId="4" applyBorder="1"/>
    <xf numFmtId="164" fontId="12" fillId="3" borderId="3" xfId="4" applyBorder="1"/>
    <xf numFmtId="9" fontId="7" fillId="0" borderId="72" xfId="2" applyFont="1" applyBorder="1" applyAlignment="1">
      <alignment vertical="center"/>
    </xf>
    <xf numFmtId="9" fontId="7" fillId="0" borderId="73" xfId="2" applyFont="1" applyBorder="1" applyAlignment="1">
      <alignment vertical="center"/>
    </xf>
    <xf numFmtId="43" fontId="7" fillId="0" borderId="0" xfId="0" applyNumberFormat="1" applyFont="1"/>
    <xf numFmtId="0" fontId="43" fillId="0" borderId="0" xfId="0" applyFont="1"/>
    <xf numFmtId="0" fontId="7" fillId="0" borderId="60" xfId="0" applyFont="1" applyBorder="1" applyAlignment="1">
      <alignment horizontal="center"/>
    </xf>
    <xf numFmtId="0" fontId="7" fillId="0" borderId="6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31" fillId="0" borderId="0" xfId="0" applyFont="1" applyAlignment="1">
      <alignment horizontal="center"/>
    </xf>
    <xf numFmtId="0" fontId="5" fillId="6" borderId="8" xfId="17" applyFont="1" applyFill="1" applyBorder="1" applyAlignment="1" applyProtection="1">
      <alignment horizontal="left" vertical="center"/>
      <protection locked="0"/>
    </xf>
    <xf numFmtId="0" fontId="5" fillId="6" borderId="9" xfId="17" applyFont="1" applyFill="1" applyBorder="1" applyProtection="1">
      <protection locked="0"/>
    </xf>
    <xf numFmtId="0" fontId="5" fillId="0" borderId="9" xfId="10" applyFont="1" applyBorder="1" applyAlignment="1" applyProtection="1">
      <alignment horizontal="center" vertical="center" wrapText="1"/>
      <protection locked="0"/>
    </xf>
    <xf numFmtId="0" fontId="5" fillId="6" borderId="9" xfId="10" applyFont="1" applyFill="1" applyBorder="1" applyAlignment="1" applyProtection="1">
      <alignment horizontal="center" vertical="center" wrapText="1"/>
      <protection locked="0"/>
    </xf>
    <xf numFmtId="3" fontId="5" fillId="6" borderId="9" xfId="14" applyNumberFormat="1" applyFont="1" applyFill="1" applyBorder="1" applyAlignment="1" applyProtection="1">
      <alignment horizontal="center" vertical="center" wrapText="1"/>
      <protection locked="0"/>
    </xf>
    <xf numFmtId="9" fontId="5" fillId="6" borderId="9" xfId="18" applyNumberFormat="1" applyFont="1" applyFill="1" applyBorder="1" applyAlignment="1" applyProtection="1">
      <alignment horizontal="center" vertical="center"/>
      <protection locked="0"/>
    </xf>
    <xf numFmtId="0" fontId="5" fillId="6" borderId="12" xfId="10" applyFont="1" applyFill="1" applyBorder="1" applyAlignment="1" applyProtection="1">
      <alignment horizontal="center" vertical="center" wrapText="1"/>
      <protection locked="0"/>
    </xf>
    <xf numFmtId="0" fontId="5" fillId="6" borderId="8" xfId="17" applyFont="1" applyFill="1" applyBorder="1" applyAlignment="1" applyProtection="1">
      <alignment horizontal="right" vertical="center"/>
      <protection locked="0"/>
    </xf>
    <xf numFmtId="0" fontId="8" fillId="6" borderId="9" xfId="10" applyFont="1" applyFill="1" applyBorder="1" applyAlignment="1" applyProtection="1">
      <alignment wrapText="1"/>
      <protection locked="0"/>
    </xf>
    <xf numFmtId="165" fontId="5" fillId="7" borderId="9" xfId="17" applyNumberFormat="1" applyFont="1" applyFill="1" applyBorder="1" applyProtection="1">
      <protection locked="0"/>
    </xf>
    <xf numFmtId="165" fontId="5" fillId="7" borderId="9" xfId="14" applyNumberFormat="1" applyFont="1" applyFill="1" applyBorder="1" applyProtection="1">
      <protection locked="0"/>
    </xf>
    <xf numFmtId="3" fontId="5" fillId="7" borderId="12" xfId="17" applyNumberFormat="1" applyFont="1" applyFill="1" applyBorder="1" applyProtection="1">
      <protection locked="0"/>
    </xf>
    <xf numFmtId="0" fontId="5" fillId="6" borderId="9" xfId="10" applyFont="1" applyFill="1" applyBorder="1" applyAlignment="1" applyProtection="1">
      <alignment horizontal="left" vertical="center" wrapText="1"/>
      <protection locked="0"/>
    </xf>
    <xf numFmtId="165" fontId="5" fillId="6" borderId="9" xfId="17" applyNumberFormat="1" applyFont="1" applyFill="1" applyBorder="1" applyProtection="1">
      <protection locked="0"/>
    </xf>
    <xf numFmtId="166" fontId="5" fillId="6" borderId="9" xfId="15" applyNumberFormat="1" applyFont="1" applyFill="1" applyBorder="1" applyAlignment="1" applyProtection="1">
      <alignment horizontal="right" wrapText="1"/>
      <protection locked="0"/>
    </xf>
    <xf numFmtId="0" fontId="5" fillId="0" borderId="9" xfId="10" applyFont="1" applyBorder="1" applyAlignment="1" applyProtection="1">
      <alignment horizontal="left" vertical="center" wrapText="1"/>
      <protection locked="0"/>
    </xf>
    <xf numFmtId="166" fontId="5" fillId="12" borderId="9" xfId="15" applyNumberFormat="1" applyFont="1" applyFill="1" applyBorder="1" applyAlignment="1" applyProtection="1">
      <alignment horizontal="right" wrapText="1"/>
      <protection locked="0"/>
    </xf>
    <xf numFmtId="0" fontId="8" fillId="0" borderId="9" xfId="10" applyFont="1" applyBorder="1" applyAlignment="1" applyProtection="1">
      <alignment wrapText="1"/>
      <protection locked="0"/>
    </xf>
    <xf numFmtId="165" fontId="5" fillId="0" borderId="9" xfId="14" applyNumberFormat="1" applyFont="1" applyFill="1" applyBorder="1" applyProtection="1">
      <protection locked="0"/>
    </xf>
    <xf numFmtId="0" fontId="5" fillId="6" borderId="16" xfId="8" applyFont="1" applyFill="1" applyBorder="1" applyAlignment="1" applyProtection="1">
      <alignment horizontal="right" vertical="center"/>
      <protection locked="0"/>
    </xf>
    <xf numFmtId="0" fontId="8" fillId="6" borderId="17" xfId="13" applyFont="1" applyFill="1" applyBorder="1" applyProtection="1">
      <protection locked="0"/>
    </xf>
    <xf numFmtId="165" fontId="8" fillId="7" borderId="17" xfId="13" applyNumberFormat="1" applyFont="1" applyFill="1" applyBorder="1" applyProtection="1">
      <protection locked="0"/>
    </xf>
    <xf numFmtId="3" fontId="8" fillId="7" borderId="17" xfId="13" applyNumberFormat="1" applyFont="1" applyFill="1" applyBorder="1" applyProtection="1">
      <protection locked="0"/>
    </xf>
    <xf numFmtId="165" fontId="8" fillId="7" borderId="17" xfId="14" applyNumberFormat="1" applyFont="1" applyFill="1" applyBorder="1" applyAlignment="1" applyProtection="1">
      <protection locked="0"/>
    </xf>
    <xf numFmtId="165" fontId="5" fillId="6" borderId="17" xfId="17" applyNumberFormat="1" applyFont="1" applyFill="1" applyBorder="1" applyProtection="1">
      <protection locked="0"/>
    </xf>
    <xf numFmtId="167" fontId="8" fillId="7" borderId="18" xfId="14" applyNumberFormat="1" applyFont="1" applyFill="1" applyBorder="1" applyAlignment="1" applyProtection="1">
      <protection locked="0"/>
    </xf>
    <xf numFmtId="165" fontId="38" fillId="0" borderId="0" xfId="0" applyNumberFormat="1" applyFont="1"/>
    <xf numFmtId="165" fontId="36" fillId="0" borderId="0" xfId="0" applyNumberFormat="1" applyFont="1"/>
    <xf numFmtId="0" fontId="49" fillId="9" borderId="20" xfId="19" applyFont="1" applyFill="1" applyBorder="1" applyAlignment="1" applyProtection="1">
      <alignment vertical="center" wrapText="1"/>
      <protection locked="0"/>
    </xf>
    <xf numFmtId="0" fontId="50" fillId="9" borderId="22" xfId="19" applyFont="1" applyFill="1" applyBorder="1" applyProtection="1">
      <alignment vertical="center"/>
      <protection locked="0"/>
    </xf>
    <xf numFmtId="0" fontId="51" fillId="11" borderId="14" xfId="19" applyFont="1" applyFill="1" applyBorder="1" applyAlignment="1" applyProtection="1">
      <alignment horizontal="center" vertical="center"/>
      <protection locked="0"/>
    </xf>
    <xf numFmtId="0" fontId="51" fillId="0" borderId="22" xfId="19" applyFont="1" applyBorder="1" applyAlignment="1" applyProtection="1">
      <alignment horizontal="left" vertical="center" wrapText="1"/>
      <protection locked="0"/>
    </xf>
    <xf numFmtId="0" fontId="49" fillId="10" borderId="9" xfId="19" applyFont="1" applyFill="1" applyBorder="1" applyAlignment="1" applyProtection="1">
      <alignment horizontal="center" vertical="center"/>
      <protection locked="0"/>
    </xf>
    <xf numFmtId="0" fontId="49" fillId="10" borderId="22" xfId="19" applyFont="1" applyFill="1" applyBorder="1" applyAlignment="1" applyProtection="1">
      <alignment vertical="top" wrapText="1"/>
      <protection locked="0"/>
    </xf>
    <xf numFmtId="167" fontId="51" fillId="10" borderId="9" xfId="20" applyNumberFormat="1" applyFont="1" applyFill="1" applyBorder="1" applyAlignment="1" applyProtection="1">
      <alignment horizontal="right" vertical="center"/>
    </xf>
    <xf numFmtId="0" fontId="49" fillId="9" borderId="20" xfId="19" applyFont="1" applyFill="1" applyBorder="1" applyProtection="1">
      <alignment vertical="center"/>
      <protection locked="0"/>
    </xf>
    <xf numFmtId="167" fontId="50" fillId="9" borderId="22" xfId="20" applyNumberFormat="1" applyFont="1" applyFill="1" applyBorder="1" applyAlignment="1" applyProtection="1">
      <alignment horizontal="right" vertical="center"/>
      <protection locked="0"/>
    </xf>
    <xf numFmtId="0" fontId="52" fillId="11" borderId="14" xfId="19" applyFont="1" applyFill="1" applyBorder="1" applyAlignment="1" applyProtection="1">
      <alignment horizontal="center" vertical="center"/>
      <protection locked="0"/>
    </xf>
    <xf numFmtId="0" fontId="51" fillId="11" borderId="22" xfId="19" applyFont="1" applyFill="1" applyBorder="1" applyAlignment="1" applyProtection="1">
      <alignment vertical="center" wrapText="1"/>
      <protection locked="0"/>
    </xf>
    <xf numFmtId="167" fontId="51" fillId="0" borderId="9" xfId="20" applyNumberFormat="1" applyFont="1" applyFill="1" applyBorder="1" applyAlignment="1" applyProtection="1">
      <alignment horizontal="right" vertical="center"/>
      <protection locked="0"/>
    </xf>
    <xf numFmtId="0" fontId="51" fillId="11" borderId="22" xfId="19" applyFont="1" applyFill="1" applyBorder="1" applyAlignment="1" applyProtection="1">
      <alignment horizontal="left" vertical="center" wrapText="1"/>
      <protection locked="0"/>
    </xf>
    <xf numFmtId="0" fontId="52" fillId="6" borderId="14" xfId="19" applyFont="1" applyFill="1" applyBorder="1" applyAlignment="1" applyProtection="1">
      <alignment horizontal="center" vertical="center"/>
      <protection locked="0"/>
    </xf>
    <xf numFmtId="0" fontId="51" fillId="0" borderId="22" xfId="19" applyFont="1" applyBorder="1" applyAlignment="1" applyProtection="1">
      <alignment vertical="center" wrapText="1"/>
      <protection locked="0"/>
    </xf>
    <xf numFmtId="0" fontId="51" fillId="6" borderId="22" xfId="19" applyFont="1" applyFill="1" applyBorder="1" applyAlignment="1" applyProtection="1">
      <alignment horizontal="left" vertical="center" wrapText="1"/>
      <protection locked="0"/>
    </xf>
    <xf numFmtId="0" fontId="52" fillId="0" borderId="14" xfId="19" applyFont="1" applyBorder="1" applyAlignment="1" applyProtection="1">
      <alignment horizontal="center" vertical="center"/>
      <protection locked="0"/>
    </xf>
    <xf numFmtId="0" fontId="53" fillId="10" borderId="9" xfId="19" applyFont="1" applyFill="1" applyBorder="1" applyAlignment="1" applyProtection="1">
      <alignment horizontal="center" vertical="center"/>
      <protection locked="0"/>
    </xf>
    <xf numFmtId="0" fontId="49" fillId="10" borderId="22" xfId="19" applyFont="1" applyFill="1" applyBorder="1" applyAlignment="1" applyProtection="1">
      <alignment vertical="center" wrapText="1"/>
      <protection locked="0"/>
    </xf>
    <xf numFmtId="167" fontId="49" fillId="9" borderId="22" xfId="20" applyNumberFormat="1" applyFont="1" applyFill="1" applyBorder="1" applyAlignment="1" applyProtection="1">
      <alignment horizontal="right" vertical="center"/>
      <protection locked="0"/>
    </xf>
    <xf numFmtId="0" fontId="49" fillId="9" borderId="20" xfId="19" applyFont="1" applyFill="1" applyBorder="1" applyAlignment="1" applyProtection="1">
      <alignment horizontal="center" vertical="center"/>
      <protection locked="0"/>
    </xf>
    <xf numFmtId="167" fontId="51" fillId="6" borderId="9" xfId="20" applyNumberFormat="1" applyFont="1" applyFill="1" applyBorder="1" applyAlignment="1" applyProtection="1">
      <alignment horizontal="right" vertical="center"/>
      <protection locked="0"/>
    </xf>
    <xf numFmtId="0" fontId="50" fillId="9" borderId="20" xfId="19" applyFont="1" applyFill="1" applyBorder="1" applyProtection="1">
      <alignment vertical="center"/>
      <protection locked="0"/>
    </xf>
    <xf numFmtId="43" fontId="51" fillId="10" borderId="9" xfId="1" applyFont="1" applyFill="1" applyBorder="1" applyAlignment="1" applyProtection="1">
      <alignment horizontal="right" vertical="center"/>
    </xf>
    <xf numFmtId="0" fontId="52" fillId="11" borderId="9" xfId="19" applyFont="1" applyFill="1" applyBorder="1" applyAlignment="1" applyProtection="1">
      <alignment horizontal="center" vertical="center"/>
      <protection locked="0"/>
    </xf>
    <xf numFmtId="0" fontId="55" fillId="11" borderId="9" xfId="19" applyFont="1" applyFill="1" applyBorder="1" applyAlignment="1" applyProtection="1">
      <alignment horizontal="center" vertical="center"/>
      <protection locked="0"/>
    </xf>
    <xf numFmtId="0" fontId="47" fillId="0" borderId="0" xfId="0" applyFont="1" applyAlignment="1">
      <alignment wrapText="1"/>
    </xf>
    <xf numFmtId="14" fontId="7" fillId="0" borderId="0" xfId="0" applyNumberFormat="1" applyFont="1"/>
    <xf numFmtId="0" fontId="7" fillId="6" borderId="60" xfId="0" applyFont="1" applyFill="1" applyBorder="1"/>
    <xf numFmtId="0" fontId="7" fillId="6" borderId="74" xfId="0" applyFont="1" applyFill="1" applyBorder="1" applyAlignment="1">
      <alignment wrapText="1"/>
    </xf>
    <xf numFmtId="0" fontId="7" fillId="0" borderId="6" xfId="0" applyFont="1" applyBorder="1" applyAlignment="1">
      <alignment horizontal="center"/>
    </xf>
    <xf numFmtId="0" fontId="7" fillId="0" borderId="7" xfId="0" applyFont="1" applyBorder="1" applyAlignment="1">
      <alignment horizontal="center" vertical="center" wrapText="1"/>
    </xf>
    <xf numFmtId="0" fontId="7" fillId="6" borderId="75" xfId="0" applyFont="1" applyFill="1" applyBorder="1"/>
    <xf numFmtId="0" fontId="24" fillId="6" borderId="27" xfId="0" applyFont="1" applyFill="1" applyBorder="1" applyAlignment="1">
      <alignment horizontal="center" wrapText="1"/>
    </xf>
    <xf numFmtId="0" fontId="7" fillId="0" borderId="9" xfId="0" applyFont="1" applyBorder="1" applyAlignment="1">
      <alignment horizontal="center"/>
    </xf>
    <xf numFmtId="0" fontId="7" fillId="0" borderId="12" xfId="0" applyFont="1" applyBorder="1" applyAlignment="1">
      <alignment horizontal="center" vertical="center" wrapText="1"/>
    </xf>
    <xf numFmtId="0" fontId="7" fillId="6" borderId="11" xfId="0" applyFont="1" applyFill="1" applyBorder="1"/>
    <xf numFmtId="0" fontId="24" fillId="6" borderId="0" xfId="0" applyFont="1" applyFill="1" applyAlignment="1">
      <alignment horizontal="center" wrapText="1"/>
    </xf>
    <xf numFmtId="0" fontId="7" fillId="6" borderId="0" xfId="0" applyFont="1" applyFill="1" applyAlignment="1">
      <alignment horizontal="center"/>
    </xf>
    <xf numFmtId="0" fontId="7" fillId="6" borderId="10" xfId="0" applyFont="1" applyFill="1" applyBorder="1" applyAlignment="1">
      <alignment horizontal="center" vertical="center" wrapText="1"/>
    </xf>
    <xf numFmtId="0" fontId="7" fillId="0" borderId="9" xfId="0" applyFont="1" applyBorder="1" applyAlignment="1">
      <alignment wrapText="1"/>
    </xf>
    <xf numFmtId="167" fontId="7" fillId="0" borderId="12" xfId="1" applyNumberFormat="1" applyFont="1" applyBorder="1"/>
    <xf numFmtId="0" fontId="48" fillId="0" borderId="9" xfId="0" applyFont="1" applyBorder="1" applyAlignment="1">
      <alignment horizontal="left" wrapText="1" indent="2"/>
    </xf>
    <xf numFmtId="164" fontId="12" fillId="3" borderId="9" xfId="4" applyBorder="1"/>
    <xf numFmtId="43" fontId="0" fillId="0" borderId="0" xfId="1" applyFont="1"/>
    <xf numFmtId="0" fontId="48" fillId="0" borderId="9" xfId="0" applyFont="1" applyBorder="1" applyAlignment="1">
      <alignment horizontal="left" vertical="top" wrapText="1" indent="2"/>
    </xf>
    <xf numFmtId="167" fontId="7" fillId="0" borderId="9" xfId="1" applyNumberFormat="1" applyFont="1" applyBorder="1" applyAlignment="1"/>
    <xf numFmtId="43" fontId="0" fillId="0" borderId="0" xfId="0" applyNumberFormat="1"/>
    <xf numFmtId="167" fontId="7" fillId="0" borderId="9" xfId="1" applyNumberFormat="1" applyFont="1" applyBorder="1" applyAlignment="1">
      <alignment vertical="top"/>
    </xf>
    <xf numFmtId="0" fontId="24" fillId="0" borderId="8" xfId="0" applyFont="1" applyBorder="1"/>
    <xf numFmtId="0" fontId="24" fillId="0" borderId="9" xfId="0" applyFont="1" applyBorder="1" applyAlignment="1">
      <alignment wrapText="1"/>
    </xf>
    <xf numFmtId="167" fontId="24" fillId="0" borderId="12" xfId="1" applyNumberFormat="1" applyFont="1" applyBorder="1"/>
    <xf numFmtId="0" fontId="3" fillId="6" borderId="11" xfId="0" applyFont="1" applyFill="1" applyBorder="1" applyAlignment="1">
      <alignment horizontal="left"/>
    </xf>
    <xf numFmtId="0" fontId="24" fillId="6" borderId="0" xfId="0" applyFont="1" applyFill="1" applyAlignment="1">
      <alignment horizontal="center"/>
    </xf>
    <xf numFmtId="167" fontId="7" fillId="6" borderId="0" xfId="1" applyNumberFormat="1" applyFont="1" applyFill="1" applyBorder="1"/>
    <xf numFmtId="167" fontId="7" fillId="6" borderId="0" xfId="1" applyNumberFormat="1" applyFont="1" applyFill="1" applyBorder="1" applyAlignment="1">
      <alignment vertical="center"/>
    </xf>
    <xf numFmtId="167" fontId="7" fillId="6" borderId="10" xfId="1" applyNumberFormat="1" applyFont="1" applyFill="1" applyBorder="1"/>
    <xf numFmtId="0" fontId="48" fillId="0" borderId="9" xfId="0" applyFont="1" applyBorder="1" applyAlignment="1">
      <alignment horizontal="left" wrapText="1" indent="4"/>
    </xf>
    <xf numFmtId="167" fontId="7" fillId="0" borderId="9" xfId="1" applyNumberFormat="1" applyFont="1" applyFill="1" applyBorder="1" applyAlignment="1">
      <alignment vertical="center"/>
    </xf>
    <xf numFmtId="0" fontId="7" fillId="6" borderId="0" xfId="0" applyFont="1" applyFill="1" applyAlignment="1">
      <alignment wrapText="1"/>
    </xf>
    <xf numFmtId="0" fontId="7" fillId="6" borderId="0" xfId="0" applyFont="1" applyFill="1"/>
    <xf numFmtId="0" fontId="7" fillId="6" borderId="10" xfId="0" applyFont="1" applyFill="1" applyBorder="1"/>
    <xf numFmtId="0" fontId="24" fillId="0" borderId="16" xfId="0" applyFont="1" applyBorder="1"/>
    <xf numFmtId="0" fontId="24" fillId="0" borderId="17" xfId="0" applyFont="1" applyBorder="1" applyAlignment="1">
      <alignment wrapText="1"/>
    </xf>
    <xf numFmtId="164" fontId="12" fillId="3" borderId="33" xfId="4" applyBorder="1"/>
    <xf numFmtId="10" fontId="24" fillId="0" borderId="18" xfId="2" applyNumberFormat="1" applyFont="1" applyBorder="1"/>
    <xf numFmtId="0" fontId="56" fillId="0" borderId="0" xfId="3" applyFont="1"/>
    <xf numFmtId="0" fontId="57" fillId="0" borderId="0" xfId="0" applyFont="1"/>
    <xf numFmtId="14" fontId="57" fillId="0" borderId="0" xfId="0" applyNumberFormat="1" applyFont="1" applyAlignment="1">
      <alignment horizontal="left"/>
    </xf>
    <xf numFmtId="0" fontId="58" fillId="0" borderId="0" xfId="3" applyFont="1"/>
    <xf numFmtId="0" fontId="59" fillId="0" borderId="76" xfId="0" applyFont="1" applyBorder="1" applyAlignment="1">
      <alignment horizontal="left" vertical="center" wrapText="1"/>
    </xf>
    <xf numFmtId="0" fontId="59" fillId="0" borderId="77" xfId="0" applyFont="1" applyBorder="1" applyAlignment="1">
      <alignment horizontal="left" vertical="center" wrapText="1"/>
    </xf>
    <xf numFmtId="0" fontId="60" fillId="0" borderId="32"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78" xfId="0" applyFont="1" applyBorder="1" applyAlignment="1">
      <alignment horizontal="center" vertical="center" wrapText="1"/>
    </xf>
    <xf numFmtId="0" fontId="59" fillId="0" borderId="79" xfId="0" applyFont="1" applyBorder="1" applyAlignment="1">
      <alignment horizontal="left" vertical="center" wrapText="1"/>
    </xf>
    <xf numFmtId="0" fontId="59" fillId="0" borderId="80" xfId="0" applyFont="1" applyBorder="1" applyAlignment="1">
      <alignment horizontal="left" vertical="center" wrapText="1"/>
    </xf>
    <xf numFmtId="0" fontId="60" fillId="0" borderId="34"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27" xfId="0" applyFont="1" applyBorder="1" applyAlignment="1">
      <alignment horizontal="center" vertical="center" wrapText="1"/>
    </xf>
    <xf numFmtId="0" fontId="59" fillId="0" borderId="82" xfId="0" applyFont="1" applyBorder="1" applyAlignment="1">
      <alignment horizontal="left" vertical="center" wrapText="1"/>
    </xf>
    <xf numFmtId="0" fontId="59" fillId="0" borderId="83" xfId="0" applyFont="1" applyBorder="1" applyAlignment="1">
      <alignment horizontal="left" vertical="center" wrapText="1"/>
    </xf>
    <xf numFmtId="0" fontId="60" fillId="0" borderId="9" xfId="0" applyFont="1" applyBorder="1" applyAlignment="1">
      <alignment horizontal="center" vertical="center" wrapText="1"/>
    </xf>
    <xf numFmtId="49" fontId="61" fillId="6" borderId="9" xfId="17" applyNumberFormat="1" applyFont="1" applyFill="1" applyBorder="1" applyAlignment="1" applyProtection="1">
      <alignment horizontal="right" vertical="center"/>
      <protection locked="0"/>
    </xf>
    <xf numFmtId="0" fontId="61" fillId="6" borderId="9" xfId="10" applyFont="1" applyFill="1" applyBorder="1" applyAlignment="1" applyProtection="1">
      <alignment horizontal="left" vertical="center" wrapText="1"/>
      <protection locked="0"/>
    </xf>
    <xf numFmtId="43" fontId="60" fillId="0" borderId="9" xfId="1" applyFont="1" applyBorder="1"/>
    <xf numFmtId="0" fontId="60" fillId="0" borderId="9" xfId="0" applyFont="1" applyBorder="1"/>
    <xf numFmtId="43" fontId="57" fillId="0" borderId="0" xfId="0" applyNumberFormat="1" applyFont="1"/>
    <xf numFmtId="43" fontId="60" fillId="0" borderId="9" xfId="1" applyFont="1" applyFill="1" applyBorder="1"/>
    <xf numFmtId="0" fontId="62" fillId="0" borderId="0" xfId="0" applyFont="1" applyAlignment="1">
      <alignment horizontal="right"/>
    </xf>
    <xf numFmtId="2" fontId="60" fillId="0" borderId="9" xfId="0" applyNumberFormat="1" applyFont="1" applyBorder="1"/>
    <xf numFmtId="3" fontId="62" fillId="0" borderId="0" xfId="0" applyNumberFormat="1" applyFont="1"/>
    <xf numFmtId="0" fontId="61" fillId="0" borderId="9" xfId="10" applyFont="1" applyBorder="1" applyAlignment="1" applyProtection="1">
      <alignment horizontal="left" vertical="center" wrapText="1"/>
      <protection locked="0"/>
    </xf>
    <xf numFmtId="0" fontId="63" fillId="0" borderId="9" xfId="10" applyFont="1" applyBorder="1" applyAlignment="1" applyProtection="1">
      <alignment horizontal="left" vertical="center" wrapText="1"/>
      <protection locked="0"/>
    </xf>
    <xf numFmtId="49" fontId="61" fillId="0" borderId="9" xfId="17" applyNumberFormat="1" applyFont="1" applyBorder="1" applyAlignment="1" applyProtection="1">
      <alignment horizontal="right" vertical="center"/>
      <protection locked="0"/>
    </xf>
    <xf numFmtId="43" fontId="60" fillId="0" borderId="9" xfId="0" applyNumberFormat="1" applyFont="1" applyBorder="1"/>
    <xf numFmtId="49" fontId="64" fillId="0" borderId="9" xfId="17" applyNumberFormat="1" applyFont="1" applyBorder="1" applyAlignment="1" applyProtection="1">
      <alignment horizontal="right" vertical="center"/>
      <protection locked="0"/>
    </xf>
    <xf numFmtId="0" fontId="57" fillId="0" borderId="0" xfId="0" applyFont="1" applyAlignment="1">
      <alignment horizontal="left" vertical="top" wrapText="1"/>
    </xf>
    <xf numFmtId="0" fontId="56" fillId="0" borderId="0" xfId="0" applyFont="1"/>
    <xf numFmtId="0" fontId="56" fillId="0" borderId="0" xfId="0" applyFont="1" applyAlignment="1">
      <alignment wrapText="1"/>
    </xf>
    <xf numFmtId="0" fontId="56" fillId="0" borderId="9" xfId="0" applyFont="1" applyBorder="1" applyAlignment="1">
      <alignment horizontal="center" vertical="center"/>
    </xf>
    <xf numFmtId="0" fontId="56" fillId="0" borderId="9"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19" xfId="0" applyFont="1" applyBorder="1" applyAlignment="1">
      <alignment horizontal="center" vertical="center" wrapText="1"/>
    </xf>
    <xf numFmtId="49" fontId="61" fillId="6" borderId="9" xfId="17" applyNumberFormat="1" applyFont="1" applyFill="1" applyBorder="1" applyAlignment="1" applyProtection="1">
      <alignment horizontal="right" vertical="center" wrapText="1"/>
      <protection locked="0"/>
    </xf>
    <xf numFmtId="43" fontId="56" fillId="0" borderId="9" xfId="1" applyFont="1" applyBorder="1"/>
    <xf numFmtId="0" fontId="56" fillId="0" borderId="9" xfId="0" applyFont="1" applyBorder="1"/>
    <xf numFmtId="172" fontId="56" fillId="7" borderId="9" xfId="22" applyFont="1" applyFill="1" applyBorder="1"/>
    <xf numFmtId="43" fontId="56" fillId="0" borderId="9" xfId="1" applyFont="1" applyBorder="1" applyAlignment="1">
      <alignment horizontal="right"/>
    </xf>
    <xf numFmtId="0" fontId="56" fillId="0" borderId="9" xfId="0" applyFont="1" applyBorder="1" applyAlignment="1">
      <alignment horizontal="right"/>
    </xf>
    <xf numFmtId="43" fontId="56" fillId="0" borderId="9" xfId="0" applyNumberFormat="1" applyFont="1" applyBorder="1" applyAlignment="1">
      <alignment horizontal="right"/>
    </xf>
    <xf numFmtId="49" fontId="61" fillId="0" borderId="9" xfId="17" applyNumberFormat="1" applyFont="1" applyBorder="1" applyAlignment="1" applyProtection="1">
      <alignment horizontal="right" vertical="center" wrapText="1"/>
      <protection locked="0"/>
    </xf>
    <xf numFmtId="43" fontId="56" fillId="0" borderId="9" xfId="1" applyFont="1" applyFill="1" applyBorder="1" applyAlignment="1">
      <alignment horizontal="right"/>
    </xf>
    <xf numFmtId="49" fontId="64" fillId="0" borderId="9" xfId="17" applyNumberFormat="1" applyFont="1" applyBorder="1" applyAlignment="1" applyProtection="1">
      <alignment horizontal="right" vertical="center" wrapText="1"/>
      <protection locked="0"/>
    </xf>
    <xf numFmtId="0" fontId="59" fillId="0" borderId="9" xfId="0" applyFont="1" applyBorder="1"/>
    <xf numFmtId="43" fontId="59" fillId="0" borderId="9" xfId="1" applyFont="1" applyBorder="1" applyAlignment="1">
      <alignment horizontal="right"/>
    </xf>
    <xf numFmtId="0" fontId="59" fillId="0" borderId="9" xfId="0" applyFont="1" applyBorder="1" applyAlignment="1">
      <alignment horizontal="right"/>
    </xf>
    <xf numFmtId="0" fontId="60" fillId="0" borderId="0" xfId="0" applyFont="1"/>
    <xf numFmtId="0" fontId="56" fillId="0" borderId="9" xfId="0" applyFont="1" applyBorder="1" applyAlignment="1">
      <alignment wrapText="1"/>
    </xf>
    <xf numFmtId="0" fontId="56" fillId="0" borderId="9" xfId="0" applyFont="1" applyBorder="1" applyAlignment="1">
      <alignment horizontal="left" indent="8"/>
    </xf>
    <xf numFmtId="0" fontId="57" fillId="0" borderId="0" xfId="0" applyFont="1" applyAlignment="1">
      <alignment wrapText="1"/>
    </xf>
    <xf numFmtId="0" fontId="56" fillId="0" borderId="20" xfId="0" applyFont="1" applyBorder="1" applyAlignment="1">
      <alignment horizontal="center" vertical="center" wrapText="1"/>
    </xf>
    <xf numFmtId="0" fontId="56" fillId="0" borderId="22" xfId="0" applyFont="1" applyBorder="1" applyAlignment="1">
      <alignment horizontal="center" vertical="center" wrapText="1"/>
    </xf>
    <xf numFmtId="0" fontId="56" fillId="0" borderId="9" xfId="0" applyFont="1" applyBorder="1" applyAlignment="1">
      <alignment horizontal="left" vertical="center" wrapText="1"/>
    </xf>
    <xf numFmtId="43" fontId="59" fillId="0" borderId="9" xfId="1" applyFont="1" applyBorder="1"/>
    <xf numFmtId="0" fontId="57" fillId="0" borderId="0" xfId="0" applyFont="1" applyAlignment="1">
      <alignment horizontal="left"/>
    </xf>
    <xf numFmtId="0" fontId="62" fillId="0" borderId="0" xfId="0" applyFont="1"/>
    <xf numFmtId="43" fontId="62" fillId="0" borderId="0" xfId="0" applyNumberFormat="1" applyFont="1"/>
    <xf numFmtId="0" fontId="66" fillId="0" borderId="9" xfId="0" applyFont="1" applyBorder="1" applyAlignment="1">
      <alignment horizontal="center" vertical="center"/>
    </xf>
    <xf numFmtId="0" fontId="59" fillId="0" borderId="9" xfId="0" applyFont="1" applyBorder="1" applyAlignment="1">
      <alignment horizontal="left" indent="1"/>
    </xf>
    <xf numFmtId="0" fontId="59" fillId="0" borderId="9" xfId="0" applyFont="1" applyBorder="1" applyAlignment="1">
      <alignment horizontal="left" wrapText="1" indent="1"/>
    </xf>
    <xf numFmtId="43" fontId="57" fillId="0" borderId="9" xfId="1" applyFont="1" applyBorder="1"/>
    <xf numFmtId="0" fontId="56" fillId="0" borderId="9" xfId="0" applyFont="1" applyBorder="1" applyAlignment="1">
      <alignment horizontal="left" indent="1"/>
    </xf>
    <xf numFmtId="0" fontId="56" fillId="0" borderId="9" xfId="0" applyFont="1" applyBorder="1" applyAlignment="1">
      <alignment horizontal="left" indent="3"/>
    </xf>
    <xf numFmtId="0" fontId="56" fillId="0" borderId="9" xfId="0" applyFont="1" applyBorder="1" applyAlignment="1">
      <alignment horizontal="left" wrapText="1" indent="4"/>
    </xf>
    <xf numFmtId="0" fontId="56" fillId="0" borderId="9" xfId="0" applyFont="1" applyBorder="1" applyAlignment="1">
      <alignment horizontal="left" wrapText="1" indent="1"/>
    </xf>
    <xf numFmtId="0" fontId="59" fillId="0" borderId="9" xfId="0" applyFont="1" applyBorder="1" applyAlignment="1">
      <alignment horizontal="left" vertical="center" indent="1"/>
    </xf>
    <xf numFmtId="0" fontId="58" fillId="0" borderId="32" xfId="0" applyFont="1" applyBorder="1" applyAlignment="1">
      <alignment horizontal="center" vertical="center"/>
    </xf>
    <xf numFmtId="0" fontId="58" fillId="0" borderId="78" xfId="0" applyFont="1" applyBorder="1" applyAlignment="1">
      <alignment horizontal="center" vertical="center"/>
    </xf>
    <xf numFmtId="0" fontId="59" fillId="0" borderId="9" xfId="0" applyFont="1" applyBorder="1" applyAlignment="1">
      <alignment horizontal="center" vertical="center" wrapText="1"/>
    </xf>
    <xf numFmtId="0" fontId="58" fillId="0" borderId="34" xfId="0" applyFont="1" applyBorder="1" applyAlignment="1">
      <alignment horizontal="center" vertical="center"/>
    </xf>
    <xf numFmtId="0" fontId="58" fillId="0" borderId="27" xfId="0" applyFont="1" applyBorder="1" applyAlignment="1">
      <alignment horizontal="center" vertical="center"/>
    </xf>
    <xf numFmtId="0" fontId="56" fillId="14" borderId="9" xfId="0" applyFont="1" applyFill="1" applyBorder="1"/>
    <xf numFmtId="0" fontId="56" fillId="0" borderId="9" xfId="0" applyFont="1" applyBorder="1" applyAlignment="1">
      <alignment horizontal="left" wrapText="1"/>
    </xf>
    <xf numFmtId="0" fontId="56" fillId="0" borderId="9" xfId="0" applyFont="1" applyBorder="1" applyAlignment="1">
      <alignment horizontal="left" wrapText="1" indent="2"/>
    </xf>
    <xf numFmtId="0" fontId="59" fillId="0" borderId="19" xfId="0" applyFont="1" applyBorder="1"/>
    <xf numFmtId="0" fontId="56" fillId="0" borderId="0" xfId="0" applyFont="1" applyAlignment="1">
      <alignment horizontal="center" vertical="center"/>
    </xf>
    <xf numFmtId="0" fontId="56" fillId="0" borderId="0" xfId="0" applyFont="1" applyAlignment="1">
      <alignment horizontal="center"/>
    </xf>
    <xf numFmtId="0" fontId="59" fillId="0" borderId="32" xfId="0" applyFont="1" applyBorder="1" applyAlignment="1">
      <alignment horizontal="center" vertical="center" wrapText="1"/>
    </xf>
    <xf numFmtId="0" fontId="59" fillId="0" borderId="78"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69" xfId="0" applyFont="1" applyBorder="1" applyAlignment="1">
      <alignment horizontal="center" vertical="center" wrapText="1"/>
    </xf>
    <xf numFmtId="0" fontId="56" fillId="0" borderId="22" xfId="0" applyFont="1" applyBorder="1" applyAlignment="1">
      <alignment horizontal="center" vertical="center" wrapText="1"/>
    </xf>
    <xf numFmtId="0" fontId="59" fillId="0" borderId="36" xfId="0" applyFont="1" applyBorder="1" applyAlignment="1">
      <alignment horizontal="center" vertical="center" wrapText="1"/>
    </xf>
    <xf numFmtId="0" fontId="59" fillId="0" borderId="26" xfId="0" applyFont="1" applyBorder="1" applyAlignment="1">
      <alignment horizontal="center" vertical="center" wrapText="1"/>
    </xf>
    <xf numFmtId="0" fontId="59" fillId="0" borderId="29"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69" xfId="0" applyFont="1" applyBorder="1" applyAlignment="1">
      <alignment horizontal="center" vertical="center" wrapText="1"/>
    </xf>
    <xf numFmtId="0" fontId="56" fillId="0" borderId="78" xfId="0" applyFont="1" applyBorder="1" applyAlignment="1">
      <alignment horizontal="center" vertical="center" wrapText="1"/>
    </xf>
    <xf numFmtId="0" fontId="56" fillId="0" borderId="0" xfId="0" applyFont="1" applyAlignment="1">
      <alignment horizontal="center" vertical="center" wrapText="1"/>
    </xf>
    <xf numFmtId="0" fontId="56" fillId="0" borderId="27" xfId="0" applyFont="1" applyBorder="1" applyAlignment="1">
      <alignment horizontal="center" vertical="center" wrapText="1"/>
    </xf>
    <xf numFmtId="0" fontId="56" fillId="0" borderId="32" xfId="0" applyFont="1" applyBorder="1" applyAlignment="1">
      <alignment horizontal="center" vertical="center" wrapText="1"/>
    </xf>
    <xf numFmtId="0" fontId="59" fillId="0" borderId="34" xfId="0" applyFont="1" applyBorder="1" applyAlignment="1">
      <alignment horizontal="center" vertical="center" wrapText="1"/>
    </xf>
    <xf numFmtId="0" fontId="59" fillId="0" borderId="27" xfId="0" applyFont="1" applyBorder="1" applyAlignment="1">
      <alignment horizontal="center" vertical="center" wrapText="1"/>
    </xf>
    <xf numFmtId="0" fontId="59" fillId="0" borderId="19" xfId="0" applyFont="1" applyBorder="1" applyAlignment="1">
      <alignment horizontal="center" vertical="center" wrapText="1"/>
    </xf>
    <xf numFmtId="0" fontId="56" fillId="0" borderId="19" xfId="0" applyFont="1" applyBorder="1" applyAlignment="1">
      <alignment wrapText="1"/>
    </xf>
    <xf numFmtId="0" fontId="56" fillId="0" borderId="34" xfId="0" applyFont="1" applyBorder="1" applyAlignment="1">
      <alignment wrapText="1"/>
    </xf>
    <xf numFmtId="0" fontId="56" fillId="0" borderId="27"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9" xfId="0" applyFont="1" applyBorder="1" applyAlignment="1">
      <alignment horizontal="center"/>
    </xf>
    <xf numFmtId="0" fontId="59" fillId="8" borderId="9" xfId="0" applyFont="1" applyFill="1" applyBorder="1"/>
    <xf numFmtId="14" fontId="56" fillId="0" borderId="0" xfId="0" applyNumberFormat="1" applyFont="1"/>
    <xf numFmtId="0" fontId="59" fillId="0" borderId="60" xfId="0" applyFont="1" applyBorder="1" applyAlignment="1">
      <alignment horizontal="left" vertical="top" wrapText="1"/>
    </xf>
    <xf numFmtId="0" fontId="59" fillId="0" borderId="67" xfId="0" applyFont="1" applyBorder="1" applyAlignment="1">
      <alignment horizontal="left" vertical="top" wrapText="1"/>
    </xf>
    <xf numFmtId="0" fontId="56" fillId="0" borderId="60" xfId="0" applyFont="1" applyBorder="1" applyAlignment="1">
      <alignment horizontal="center" vertical="center" wrapText="1"/>
    </xf>
    <xf numFmtId="0" fontId="56" fillId="0" borderId="61" xfId="0" applyFont="1" applyBorder="1" applyAlignment="1">
      <alignment horizontal="center" vertical="center" wrapText="1"/>
    </xf>
    <xf numFmtId="0" fontId="56" fillId="0" borderId="67" xfId="0" applyFont="1" applyBorder="1" applyAlignment="1">
      <alignment horizontal="center" vertical="center" wrapText="1"/>
    </xf>
    <xf numFmtId="0" fontId="59" fillId="0" borderId="11" xfId="0" applyFont="1" applyBorder="1" applyAlignment="1">
      <alignment horizontal="left" vertical="top" wrapText="1"/>
    </xf>
    <xf numFmtId="0" fontId="59" fillId="0" borderId="10" xfId="0" applyFont="1" applyBorder="1" applyAlignment="1">
      <alignment horizontal="left" vertical="top" wrapText="1"/>
    </xf>
    <xf numFmtId="0" fontId="59" fillId="0" borderId="84" xfId="0" applyFont="1" applyBorder="1" applyAlignment="1">
      <alignment horizontal="center" vertical="center" wrapText="1"/>
    </xf>
    <xf numFmtId="0" fontId="56" fillId="0" borderId="12" xfId="0" applyFont="1" applyBorder="1" applyAlignment="1">
      <alignment horizontal="center" vertical="center" wrapText="1"/>
    </xf>
    <xf numFmtId="0" fontId="59" fillId="0" borderId="75" xfId="0" applyFont="1" applyBorder="1" applyAlignment="1">
      <alignment horizontal="left" vertical="top" wrapText="1"/>
    </xf>
    <xf numFmtId="0" fontId="59" fillId="0" borderId="85" xfId="0" applyFont="1" applyBorder="1" applyAlignment="1">
      <alignment horizontal="left" vertical="top" wrapText="1"/>
    </xf>
    <xf numFmtId="0" fontId="59" fillId="0" borderId="37" xfId="0" applyFont="1" applyBorder="1" applyAlignment="1">
      <alignment horizontal="center" vertical="center" wrapText="1"/>
    </xf>
    <xf numFmtId="0" fontId="56" fillId="0" borderId="37" xfId="0" applyFont="1" applyBorder="1"/>
    <xf numFmtId="0" fontId="59" fillId="0" borderId="39" xfId="0" applyFont="1" applyBorder="1"/>
    <xf numFmtId="43" fontId="59" fillId="0" borderId="37" xfId="0" applyNumberFormat="1" applyFont="1" applyBorder="1"/>
    <xf numFmtId="0" fontId="56" fillId="0" borderId="12" xfId="0" applyFont="1" applyBorder="1"/>
    <xf numFmtId="0" fontId="56" fillId="0" borderId="8" xfId="0" applyFont="1" applyBorder="1" applyAlignment="1">
      <alignment horizontal="left" indent="1"/>
    </xf>
    <xf numFmtId="0" fontId="56" fillId="0" borderId="12" xfId="0" applyFont="1" applyBorder="1" applyAlignment="1">
      <alignment horizontal="left" indent="1"/>
    </xf>
    <xf numFmtId="43" fontId="56" fillId="0" borderId="8" xfId="1" applyFont="1" applyBorder="1" applyAlignment="1">
      <alignment horizontal="left" indent="1"/>
    </xf>
    <xf numFmtId="0" fontId="56" fillId="0" borderId="8" xfId="0" applyFont="1" applyBorder="1" applyAlignment="1">
      <alignment horizontal="left" indent="2"/>
    </xf>
    <xf numFmtId="0" fontId="56" fillId="0" borderId="12" xfId="0" applyFont="1" applyBorder="1" applyAlignment="1">
      <alignment horizontal="left" indent="2"/>
    </xf>
    <xf numFmtId="43" fontId="56" fillId="0" borderId="8" xfId="1" applyFont="1" applyBorder="1" applyAlignment="1">
      <alignment horizontal="right" indent="2"/>
    </xf>
    <xf numFmtId="49" fontId="56" fillId="0" borderId="8" xfId="0" applyNumberFormat="1" applyFont="1" applyBorder="1" applyAlignment="1">
      <alignment horizontal="left" indent="3"/>
    </xf>
    <xf numFmtId="49" fontId="56" fillId="0" borderId="12" xfId="0" applyNumberFormat="1" applyFont="1" applyBorder="1" applyAlignment="1">
      <alignment horizontal="left" indent="3"/>
    </xf>
    <xf numFmtId="43" fontId="56" fillId="0" borderId="8" xfId="1" applyFont="1" applyBorder="1" applyAlignment="1">
      <alignment horizontal="left" indent="3"/>
    </xf>
    <xf numFmtId="49" fontId="56" fillId="0" borderId="8" xfId="0" applyNumberFormat="1" applyFont="1" applyBorder="1" applyAlignment="1">
      <alignment horizontal="left" indent="1"/>
    </xf>
    <xf numFmtId="49" fontId="56" fillId="0" borderId="12" xfId="0" applyNumberFormat="1" applyFont="1" applyBorder="1" applyAlignment="1">
      <alignment horizontal="left" indent="1"/>
    </xf>
    <xf numFmtId="43" fontId="56" fillId="15" borderId="8" xfId="1" applyFont="1" applyFill="1" applyBorder="1"/>
    <xf numFmtId="0" fontId="56" fillId="15" borderId="9" xfId="0" applyFont="1" applyFill="1" applyBorder="1"/>
    <xf numFmtId="0" fontId="56" fillId="15" borderId="12" xfId="0" applyFont="1" applyFill="1" applyBorder="1"/>
    <xf numFmtId="49" fontId="56" fillId="0" borderId="8" xfId="0" applyNumberFormat="1" applyFont="1" applyBorder="1" applyAlignment="1">
      <alignment horizontal="left" wrapText="1" indent="2"/>
    </xf>
    <xf numFmtId="49" fontId="56" fillId="0" borderId="12" xfId="0" applyNumberFormat="1" applyFont="1" applyBorder="1" applyAlignment="1">
      <alignment horizontal="left" vertical="top" wrapText="1" indent="2"/>
    </xf>
    <xf numFmtId="43" fontId="56" fillId="0" borderId="8" xfId="1" applyFont="1" applyBorder="1" applyAlignment="1">
      <alignment horizontal="left" vertical="center" wrapText="1" indent="2"/>
    </xf>
    <xf numFmtId="49" fontId="56" fillId="0" borderId="8" xfId="0" applyNumberFormat="1" applyFont="1" applyBorder="1" applyAlignment="1">
      <alignment horizontal="left" wrapText="1" indent="3"/>
    </xf>
    <xf numFmtId="49" fontId="56" fillId="0" borderId="12" xfId="0" applyNumberFormat="1" applyFont="1" applyBorder="1" applyAlignment="1">
      <alignment horizontal="left" wrapText="1" indent="3"/>
    </xf>
    <xf numFmtId="49" fontId="56" fillId="0" borderId="12" xfId="0" applyNumberFormat="1" applyFont="1" applyBorder="1" applyAlignment="1">
      <alignment horizontal="left" wrapText="1" indent="2"/>
    </xf>
    <xf numFmtId="0" fontId="56" fillId="0" borderId="8" xfId="0" applyFont="1" applyBorder="1" applyAlignment="1">
      <alignment horizontal="left" wrapText="1" indent="1"/>
    </xf>
    <xf numFmtId="49" fontId="56" fillId="0" borderId="12" xfId="0" applyNumberFormat="1" applyFont="1" applyBorder="1" applyAlignment="1">
      <alignment horizontal="left" wrapText="1" indent="1"/>
    </xf>
    <xf numFmtId="43" fontId="56" fillId="0" borderId="8" xfId="1" applyFont="1" applyBorder="1" applyAlignment="1">
      <alignment horizontal="left" wrapText="1" indent="1"/>
    </xf>
    <xf numFmtId="0" fontId="56" fillId="0" borderId="16" xfId="0" applyFont="1" applyBorder="1" applyAlignment="1">
      <alignment horizontal="left" wrapText="1" indent="1"/>
    </xf>
    <xf numFmtId="49" fontId="56" fillId="0" borderId="18" xfId="0" applyNumberFormat="1" applyFont="1" applyBorder="1" applyAlignment="1">
      <alignment horizontal="left" wrapText="1" indent="1"/>
    </xf>
    <xf numFmtId="43" fontId="56" fillId="0" borderId="16" xfId="1" applyFont="1" applyBorder="1" applyAlignment="1">
      <alignment horizontal="left" wrapText="1" indent="1"/>
    </xf>
    <xf numFmtId="43" fontId="56" fillId="0" borderId="17" xfId="1" applyFont="1" applyBorder="1"/>
    <xf numFmtId="0" fontId="56" fillId="0" borderId="17" xfId="0" applyFont="1" applyBorder="1"/>
    <xf numFmtId="0" fontId="56" fillId="0" borderId="18" xfId="0" applyFont="1" applyBorder="1"/>
    <xf numFmtId="0" fontId="56" fillId="0" borderId="32" xfId="0" applyFont="1" applyBorder="1" applyAlignment="1">
      <alignment horizontal="center" vertical="top" wrapText="1"/>
    </xf>
    <xf numFmtId="0" fontId="56" fillId="0" borderId="69" xfId="0" applyFont="1" applyBorder="1" applyAlignment="1">
      <alignment horizontal="center" vertical="top" wrapText="1"/>
    </xf>
    <xf numFmtId="0" fontId="56" fillId="0" borderId="21" xfId="0" applyFont="1" applyBorder="1" applyAlignment="1">
      <alignment horizontal="center" vertical="top" wrapText="1"/>
    </xf>
    <xf numFmtId="0" fontId="56" fillId="0" borderId="22" xfId="0" applyFont="1" applyBorder="1" applyAlignment="1">
      <alignment horizontal="center" vertical="top" wrapText="1"/>
    </xf>
    <xf numFmtId="0" fontId="59" fillId="0" borderId="26" xfId="0" applyFont="1" applyBorder="1" applyAlignment="1">
      <alignment horizontal="left" vertical="center" wrapText="1"/>
    </xf>
    <xf numFmtId="43" fontId="56" fillId="0" borderId="9" xfId="1" applyFont="1" applyBorder="1" applyAlignment="1">
      <alignment horizontal="left" vertical="center" wrapText="1"/>
    </xf>
    <xf numFmtId="0" fontId="59" fillId="0" borderId="9" xfId="0" applyFont="1" applyBorder="1" applyAlignment="1">
      <alignment horizontal="left" vertical="center" wrapText="1"/>
    </xf>
    <xf numFmtId="43" fontId="59" fillId="0" borderId="9" xfId="0" applyNumberFormat="1" applyFont="1" applyBorder="1" applyAlignment="1">
      <alignment horizontal="left" vertical="center" wrapText="1"/>
    </xf>
    <xf numFmtId="0" fontId="61" fillId="0" borderId="0" xfId="0" applyFont="1"/>
    <xf numFmtId="0" fontId="61" fillId="0" borderId="0" xfId="0" applyFont="1" applyAlignment="1">
      <alignment horizontal="center" vertical="center"/>
    </xf>
    <xf numFmtId="0" fontId="67" fillId="0" borderId="0" xfId="0" applyFont="1"/>
    <xf numFmtId="0" fontId="68" fillId="0" borderId="86" xfId="0" applyFont="1" applyBorder="1" applyAlignment="1">
      <alignment horizontal="left" vertical="top" wrapText="1"/>
    </xf>
    <xf numFmtId="0" fontId="68" fillId="0" borderId="87" xfId="0" applyFont="1" applyBorder="1" applyAlignment="1">
      <alignment horizontal="left" vertical="top" wrapText="1"/>
    </xf>
    <xf numFmtId="0" fontId="59" fillId="0" borderId="9" xfId="0" applyFont="1" applyBorder="1" applyAlignment="1">
      <alignment horizontal="center" vertical="center" wrapText="1"/>
    </xf>
    <xf numFmtId="43" fontId="67" fillId="0" borderId="0" xfId="0" applyNumberFormat="1" applyFont="1"/>
    <xf numFmtId="43" fontId="61" fillId="0" borderId="9" xfId="1" applyFont="1" applyBorder="1"/>
    <xf numFmtId="0" fontId="5" fillId="0" borderId="0" xfId="0" applyFont="1" applyAlignment="1">
      <alignment wrapText="1"/>
    </xf>
    <xf numFmtId="0" fontId="23" fillId="0" borderId="0" xfId="0" applyFont="1"/>
    <xf numFmtId="0" fontId="64" fillId="0" borderId="9" xfId="0" applyFont="1" applyBorder="1" applyAlignment="1">
      <alignment horizontal="center" vertical="center"/>
    </xf>
    <xf numFmtId="0" fontId="61" fillId="0" borderId="14" xfId="0" applyFont="1" applyBorder="1" applyAlignment="1">
      <alignment horizontal="center" vertical="center" wrapText="1"/>
    </xf>
    <xf numFmtId="0" fontId="61" fillId="0" borderId="9" xfId="0" applyFont="1" applyBorder="1" applyAlignment="1">
      <alignment horizontal="center" vertical="center" wrapText="1"/>
    </xf>
    <xf numFmtId="0" fontId="23" fillId="0" borderId="19" xfId="0" applyFont="1" applyBorder="1"/>
    <xf numFmtId="0" fontId="61" fillId="0" borderId="9" xfId="0" applyFont="1" applyBorder="1" applyAlignment="1">
      <alignment horizontal="left" indent="2"/>
    </xf>
    <xf numFmtId="0" fontId="56" fillId="0" borderId="88" xfId="0" applyFont="1" applyBorder="1" applyAlignment="1">
      <alignment vertical="center" wrapText="1" readingOrder="1"/>
    </xf>
    <xf numFmtId="43" fontId="61" fillId="0" borderId="9" xfId="0" applyNumberFormat="1" applyFont="1" applyBorder="1"/>
    <xf numFmtId="0" fontId="61" fillId="0" borderId="9" xfId="0" applyFont="1" applyBorder="1"/>
    <xf numFmtId="9" fontId="61" fillId="0" borderId="9" xfId="0" applyNumberFormat="1" applyFont="1" applyBorder="1"/>
    <xf numFmtId="0" fontId="56" fillId="0" borderId="89" xfId="0" applyFont="1" applyBorder="1" applyAlignment="1">
      <alignment vertical="center" wrapText="1" readingOrder="1"/>
    </xf>
    <xf numFmtId="0" fontId="61" fillId="0" borderId="9" xfId="0" applyFont="1" applyBorder="1" applyAlignment="1">
      <alignment horizontal="left" indent="3"/>
    </xf>
    <xf numFmtId="0" fontId="56" fillId="0" borderId="89" xfId="0" applyFont="1" applyBorder="1" applyAlignment="1">
      <alignment horizontal="left" vertical="center" wrapText="1" indent="1" readingOrder="1"/>
    </xf>
    <xf numFmtId="0" fontId="61" fillId="0" borderId="14" xfId="0" applyFont="1" applyBorder="1" applyAlignment="1">
      <alignment horizontal="left" indent="2"/>
    </xf>
    <xf numFmtId="0" fontId="56" fillId="0" borderId="90" xfId="0" applyFont="1" applyBorder="1" applyAlignment="1">
      <alignment vertical="center" wrapText="1" readingOrder="1"/>
    </xf>
    <xf numFmtId="43" fontId="61" fillId="0" borderId="14" xfId="1" applyFont="1" applyBorder="1"/>
    <xf numFmtId="0" fontId="61" fillId="0" borderId="14" xfId="0" applyFont="1" applyBorder="1"/>
    <xf numFmtId="9" fontId="61" fillId="0" borderId="14" xfId="0" applyNumberFormat="1" applyFont="1" applyBorder="1"/>
    <xf numFmtId="0" fontId="59" fillId="0" borderId="9" xfId="0" applyFont="1" applyBorder="1" applyAlignment="1">
      <alignment vertical="center" wrapText="1" readingOrder="1"/>
    </xf>
    <xf numFmtId="9" fontId="2" fillId="0" borderId="0" xfId="2" applyFont="1"/>
    <xf numFmtId="10" fontId="2" fillId="0" borderId="0" xfId="2" applyNumberFormat="1" applyFont="1"/>
    <xf numFmtId="43" fontId="2" fillId="0" borderId="0" xfId="1" applyFont="1"/>
    <xf numFmtId="0" fontId="68" fillId="0" borderId="91" xfId="0" applyFont="1" applyBorder="1" applyAlignment="1">
      <alignment horizontal="center" vertical="center"/>
    </xf>
    <xf numFmtId="0" fontId="68" fillId="0" borderId="92" xfId="0" applyFont="1" applyBorder="1" applyAlignment="1">
      <alignment horizontal="center" vertical="center"/>
    </xf>
    <xf numFmtId="0" fontId="68" fillId="0" borderId="93" xfId="0" applyFont="1" applyBorder="1" applyAlignment="1">
      <alignment horizontal="center" vertical="center"/>
    </xf>
    <xf numFmtId="0" fontId="70" fillId="0" borderId="0" xfId="0" applyFont="1"/>
    <xf numFmtId="49" fontId="70" fillId="0" borderId="9" xfId="0" applyNumberFormat="1" applyFont="1" applyBorder="1" applyAlignment="1">
      <alignment horizontal="right" vertical="center"/>
    </xf>
    <xf numFmtId="0" fontId="70" fillId="0" borderId="9" xfId="0" applyFont="1" applyBorder="1" applyAlignment="1">
      <alignment horizontal="left" vertical="center" wrapText="1"/>
    </xf>
    <xf numFmtId="49" fontId="70" fillId="0" borderId="94" xfId="0" applyNumberFormat="1" applyFont="1" applyBorder="1" applyAlignment="1">
      <alignment horizontal="right" vertical="center"/>
    </xf>
    <xf numFmtId="0" fontId="70" fillId="0" borderId="0" xfId="0" applyFont="1" applyAlignment="1">
      <alignment horizontal="left"/>
    </xf>
    <xf numFmtId="0" fontId="68" fillId="4" borderId="95" xfId="0" applyFont="1" applyFill="1" applyBorder="1" applyAlignment="1">
      <alignment horizontal="center" vertical="center" wrapText="1"/>
    </xf>
    <xf numFmtId="0" fontId="68" fillId="4" borderId="96" xfId="0" applyFont="1" applyFill="1" applyBorder="1" applyAlignment="1">
      <alignment horizontal="center" vertical="center" wrapText="1"/>
    </xf>
    <xf numFmtId="0" fontId="68" fillId="4" borderId="97" xfId="0" applyFont="1" applyFill="1" applyBorder="1" applyAlignment="1">
      <alignment horizontal="center" vertical="center" wrapText="1"/>
    </xf>
    <xf numFmtId="49" fontId="70" fillId="0" borderId="19" xfId="0" applyNumberFormat="1" applyFont="1" applyBorder="1" applyAlignment="1">
      <alignment horizontal="right" vertical="center"/>
    </xf>
    <xf numFmtId="0" fontId="70" fillId="0" borderId="34" xfId="0" applyFont="1" applyBorder="1" applyAlignment="1">
      <alignment horizontal="left" vertical="center" wrapText="1"/>
    </xf>
    <xf numFmtId="0" fontId="70" fillId="0" borderId="27" xfId="0" applyFont="1" applyBorder="1" applyAlignment="1">
      <alignment horizontal="left" vertical="center" wrapText="1"/>
    </xf>
    <xf numFmtId="0" fontId="70" fillId="0" borderId="20" xfId="0" applyFont="1" applyBorder="1" applyAlignment="1">
      <alignment horizontal="left" vertical="center" wrapText="1"/>
    </xf>
    <xf numFmtId="0" fontId="70" fillId="0" borderId="22" xfId="0" applyFont="1" applyBorder="1" applyAlignment="1">
      <alignment horizontal="left" vertical="center" wrapText="1"/>
    </xf>
    <xf numFmtId="0" fontId="70" fillId="0" borderId="20" xfId="0" applyFont="1" applyBorder="1" applyAlignment="1">
      <alignment horizontal="left"/>
    </xf>
    <xf numFmtId="0" fontId="70" fillId="0" borderId="22" xfId="0" applyFont="1" applyBorder="1" applyAlignment="1">
      <alignment horizontal="left"/>
    </xf>
    <xf numFmtId="0" fontId="70" fillId="6" borderId="20" xfId="0" applyFont="1" applyFill="1" applyBorder="1" applyAlignment="1">
      <alignment vertical="center" wrapText="1"/>
    </xf>
    <xf numFmtId="0" fontId="70" fillId="6" borderId="22" xfId="0" applyFont="1" applyFill="1" applyBorder="1" applyAlignment="1">
      <alignment vertical="center" wrapText="1"/>
    </xf>
    <xf numFmtId="49" fontId="70" fillId="0" borderId="98" xfId="0" applyNumberFormat="1" applyFont="1" applyBorder="1" applyAlignment="1">
      <alignment horizontal="right" vertical="center"/>
    </xf>
    <xf numFmtId="0" fontId="70" fillId="6" borderId="99" xfId="0" applyFont="1" applyFill="1" applyBorder="1" applyAlignment="1">
      <alignment horizontal="left" vertical="center" wrapText="1"/>
    </xf>
    <xf numFmtId="0" fontId="70" fillId="6" borderId="100" xfId="0" applyFont="1" applyFill="1" applyBorder="1" applyAlignment="1">
      <alignment horizontal="left" vertical="center" wrapText="1"/>
    </xf>
    <xf numFmtId="49" fontId="70" fillId="0" borderId="101" xfId="0" applyNumberFormat="1" applyFont="1" applyBorder="1" applyAlignment="1">
      <alignment horizontal="right" vertical="center"/>
    </xf>
    <xf numFmtId="0" fontId="70" fillId="13" borderId="102" xfId="0" applyFont="1" applyFill="1" applyBorder="1" applyAlignment="1">
      <alignment horizontal="left" vertical="center" wrapText="1"/>
    </xf>
    <xf numFmtId="0" fontId="70" fillId="13" borderId="103" xfId="0" applyFont="1" applyFill="1" applyBorder="1" applyAlignment="1">
      <alignment horizontal="left" vertical="center" wrapText="1"/>
    </xf>
    <xf numFmtId="0" fontId="70" fillId="13" borderId="34" xfId="0" applyFont="1" applyFill="1" applyBorder="1" applyAlignment="1">
      <alignment vertical="center" wrapText="1"/>
    </xf>
    <xf numFmtId="0" fontId="70" fillId="13" borderId="27" xfId="0" applyFont="1" applyFill="1" applyBorder="1" applyAlignment="1">
      <alignment vertical="center" wrapText="1"/>
    </xf>
    <xf numFmtId="0" fontId="70" fillId="13" borderId="20" xfId="0" applyFont="1" applyFill="1" applyBorder="1" applyAlignment="1">
      <alignment vertical="center" wrapText="1"/>
    </xf>
    <xf numFmtId="0" fontId="70" fillId="13" borderId="22" xfId="0" applyFont="1" applyFill="1" applyBorder="1" applyAlignment="1">
      <alignment vertical="center" wrapText="1"/>
    </xf>
    <xf numFmtId="0" fontId="70" fillId="13" borderId="20" xfId="0" applyFont="1" applyFill="1" applyBorder="1" applyAlignment="1">
      <alignment horizontal="left" vertical="center" wrapText="1"/>
    </xf>
    <xf numFmtId="0" fontId="70" fillId="13" borderId="21" xfId="0" applyFont="1" applyFill="1" applyBorder="1" applyAlignment="1">
      <alignment horizontal="left" vertical="center" wrapText="1"/>
    </xf>
    <xf numFmtId="0" fontId="70" fillId="13" borderId="22" xfId="0" applyFont="1" applyFill="1" applyBorder="1" applyAlignment="1">
      <alignment horizontal="left" vertical="center" wrapText="1"/>
    </xf>
    <xf numFmtId="0" fontId="70" fillId="0" borderId="99" xfId="0" applyFont="1" applyBorder="1" applyAlignment="1">
      <alignment horizontal="left" vertical="center" wrapText="1"/>
    </xf>
    <xf numFmtId="0" fontId="70" fillId="0" borderId="100" xfId="0" applyFont="1" applyBorder="1" applyAlignment="1">
      <alignment horizontal="left" vertical="center" wrapText="1"/>
    </xf>
    <xf numFmtId="0" fontId="68" fillId="4" borderId="104"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105" xfId="0" applyFont="1" applyFill="1" applyBorder="1" applyAlignment="1">
      <alignment horizontal="center" vertical="center" wrapText="1"/>
    </xf>
    <xf numFmtId="0" fontId="70" fillId="6" borderId="20" xfId="0" applyFont="1" applyFill="1" applyBorder="1" applyAlignment="1">
      <alignment horizontal="left" vertical="center" wrapText="1"/>
    </xf>
    <xf numFmtId="0" fontId="70" fillId="6" borderId="22" xfId="0" applyFont="1" applyFill="1" applyBorder="1" applyAlignment="1">
      <alignment horizontal="left" vertical="center" wrapText="1"/>
    </xf>
    <xf numFmtId="0" fontId="70" fillId="16" borderId="20" xfId="0" applyFont="1" applyFill="1" applyBorder="1" applyAlignment="1">
      <alignment vertical="center" wrapText="1"/>
    </xf>
    <xf numFmtId="0" fontId="70" fillId="16" borderId="22" xfId="0" applyFont="1" applyFill="1" applyBorder="1" applyAlignment="1">
      <alignment vertical="center" wrapText="1"/>
    </xf>
    <xf numFmtId="0" fontId="70" fillId="0" borderId="20" xfId="0" applyFont="1" applyBorder="1" applyAlignment="1">
      <alignment vertical="center" wrapText="1"/>
    </xf>
    <xf numFmtId="0" fontId="70" fillId="0" borderId="22" xfId="0" applyFont="1" applyBorder="1" applyAlignment="1">
      <alignment vertical="center" wrapText="1"/>
    </xf>
    <xf numFmtId="0" fontId="68" fillId="4" borderId="106" xfId="0" applyFont="1" applyFill="1" applyBorder="1" applyAlignment="1">
      <alignment horizontal="center" vertical="center"/>
    </xf>
    <xf numFmtId="0" fontId="68" fillId="4" borderId="107" xfId="0" applyFont="1" applyFill="1" applyBorder="1" applyAlignment="1">
      <alignment horizontal="center" vertical="center"/>
    </xf>
    <xf numFmtId="0" fontId="68" fillId="4" borderId="108" xfId="0" applyFont="1" applyFill="1" applyBorder="1" applyAlignment="1">
      <alignment horizontal="center" vertical="center"/>
    </xf>
    <xf numFmtId="0" fontId="68" fillId="0" borderId="109" xfId="0" applyFont="1" applyBorder="1" applyAlignment="1">
      <alignment horizontal="center" vertical="center"/>
    </xf>
    <xf numFmtId="0" fontId="70" fillId="0" borderId="110" xfId="0" applyFont="1" applyBorder="1" applyAlignment="1">
      <alignment horizontal="right" vertical="center"/>
    </xf>
    <xf numFmtId="0" fontId="70" fillId="0" borderId="110" xfId="0" applyFont="1" applyBorder="1" applyAlignment="1">
      <alignment horizontal="left" vertical="center"/>
    </xf>
    <xf numFmtId="0" fontId="70" fillId="0" borderId="94" xfId="0" applyFont="1" applyBorder="1" applyAlignment="1">
      <alignment horizontal="right" vertical="center"/>
    </xf>
    <xf numFmtId="0" fontId="70" fillId="0" borderId="94" xfId="0" applyFont="1" applyBorder="1" applyAlignment="1">
      <alignment vertical="center" wrapText="1"/>
    </xf>
    <xf numFmtId="0" fontId="70" fillId="0" borderId="94" xfId="0" applyFont="1" applyBorder="1" applyAlignment="1">
      <alignment horizontal="left" vertical="center" wrapText="1"/>
    </xf>
    <xf numFmtId="0" fontId="68" fillId="4" borderId="9" xfId="0" applyFont="1" applyFill="1" applyBorder="1" applyAlignment="1">
      <alignment horizontal="center" vertical="center" wrapText="1"/>
    </xf>
    <xf numFmtId="0" fontId="68" fillId="0" borderId="9" xfId="0" applyFont="1" applyBorder="1" applyAlignment="1">
      <alignment horizontal="center" vertical="center"/>
    </xf>
    <xf numFmtId="0" fontId="70" fillId="6" borderId="9" xfId="17" applyFont="1" applyFill="1" applyBorder="1" applyAlignment="1" applyProtection="1">
      <alignment horizontal="right" vertical="center"/>
      <protection locked="0"/>
    </xf>
    <xf numFmtId="0" fontId="70" fillId="0" borderId="20" xfId="10" applyFont="1" applyBorder="1" applyAlignment="1" applyProtection="1">
      <alignment horizontal="left" vertical="top" wrapText="1"/>
      <protection locked="0"/>
    </xf>
    <xf numFmtId="0" fontId="70" fillId="0" borderId="22" xfId="10" applyFont="1" applyBorder="1" applyAlignment="1" applyProtection="1">
      <alignment horizontal="left" vertical="top" wrapText="1"/>
      <protection locked="0"/>
    </xf>
    <xf numFmtId="0" fontId="70" fillId="6" borderId="20" xfId="10" applyFont="1" applyFill="1" applyBorder="1" applyAlignment="1" applyProtection="1">
      <alignment horizontal="left" vertical="top" wrapText="1"/>
      <protection locked="0"/>
    </xf>
    <xf numFmtId="0" fontId="70" fillId="6" borderId="22" xfId="10" applyFont="1" applyFill="1" applyBorder="1" applyAlignment="1" applyProtection="1">
      <alignment horizontal="left" vertical="top" wrapText="1"/>
      <protection locked="0"/>
    </xf>
    <xf numFmtId="0" fontId="70" fillId="0" borderId="20" xfId="10" applyFont="1" applyBorder="1" applyAlignment="1" applyProtection="1">
      <alignment horizontal="left" vertical="top" wrapText="1"/>
      <protection locked="0"/>
    </xf>
    <xf numFmtId="0" fontId="70" fillId="0" borderId="22" xfId="10" applyFont="1" applyBorder="1" applyAlignment="1" applyProtection="1">
      <alignment horizontal="left" vertical="top" wrapText="1"/>
      <protection locked="0"/>
    </xf>
    <xf numFmtId="0" fontId="70" fillId="0" borderId="9" xfId="0" applyFont="1" applyBorder="1" applyAlignment="1">
      <alignment horizontal="right" vertical="center"/>
    </xf>
    <xf numFmtId="0" fontId="70" fillId="0" borderId="9" xfId="0" applyFont="1" applyBorder="1" applyAlignment="1">
      <alignment vertical="center" wrapText="1"/>
    </xf>
    <xf numFmtId="0" fontId="70" fillId="0" borderId="9" xfId="23" applyFont="1" applyBorder="1" applyAlignment="1">
      <alignment horizontal="left" vertical="center" wrapText="1"/>
    </xf>
    <xf numFmtId="0" fontId="70" fillId="0" borderId="9" xfId="0" applyFont="1" applyBorder="1" applyAlignment="1">
      <alignment horizontal="left" vertical="center" wrapText="1"/>
    </xf>
    <xf numFmtId="0" fontId="70" fillId="0" borderId="9" xfId="0" applyFont="1" applyBorder="1" applyAlignment="1">
      <alignment vertical="center"/>
    </xf>
    <xf numFmtId="2" fontId="70" fillId="6" borderId="9" xfId="17" applyNumberFormat="1" applyFont="1" applyFill="1" applyBorder="1" applyAlignment="1" applyProtection="1">
      <alignment horizontal="right" vertical="center"/>
      <protection locked="0"/>
    </xf>
    <xf numFmtId="0" fontId="70" fillId="0" borderId="22" xfId="0" applyFont="1" applyBorder="1" applyAlignment="1">
      <alignment horizontal="left" vertical="center" wrapText="1"/>
    </xf>
    <xf numFmtId="0" fontId="71" fillId="0" borderId="0" xfId="0" applyFont="1"/>
    <xf numFmtId="0" fontId="68" fillId="4" borderId="20" xfId="0" applyFont="1" applyFill="1" applyBorder="1" applyAlignment="1">
      <alignment horizontal="center" vertical="center" wrapText="1"/>
    </xf>
    <xf numFmtId="0" fontId="68" fillId="4" borderId="22" xfId="0" applyFont="1" applyFill="1" applyBorder="1" applyAlignment="1">
      <alignment horizontal="center" vertical="center" wrapText="1"/>
    </xf>
    <xf numFmtId="0" fontId="70" fillId="0" borderId="20" xfId="0" applyFont="1" applyBorder="1" applyAlignment="1">
      <alignment horizontal="left" vertical="top" wrapText="1"/>
    </xf>
    <xf numFmtId="0" fontId="70" fillId="0" borderId="22" xfId="0" applyFont="1" applyBorder="1" applyAlignment="1">
      <alignment horizontal="left" vertical="top" wrapText="1"/>
    </xf>
    <xf numFmtId="0" fontId="70" fillId="0" borderId="14" xfId="0" applyFont="1" applyBorder="1" applyAlignment="1">
      <alignment horizontal="left" vertical="top" wrapText="1"/>
    </xf>
    <xf numFmtId="0" fontId="68" fillId="0" borderId="9" xfId="0" applyFont="1" applyBorder="1" applyAlignment="1">
      <alignment wrapText="1"/>
    </xf>
    <xf numFmtId="0" fontId="70" fillId="0" borderId="9" xfId="0" applyFont="1" applyBorder="1" applyAlignment="1">
      <alignment horizontal="left" vertical="top" wrapText="1"/>
    </xf>
    <xf numFmtId="0" fontId="70" fillId="0" borderId="9" xfId="0" applyFont="1" applyBorder="1" applyAlignment="1">
      <alignment wrapText="1"/>
    </xf>
    <xf numFmtId="0" fontId="70" fillId="0" borderId="9" xfId="0" applyFont="1" applyBorder="1"/>
    <xf numFmtId="0" fontId="70" fillId="0" borderId="9" xfId="0" applyFont="1" applyBorder="1" applyAlignment="1">
      <alignment horizontal="left" wrapText="1" indent="2"/>
    </xf>
    <xf numFmtId="0" fontId="70" fillId="0" borderId="9" xfId="0" applyFont="1" applyBorder="1" applyAlignment="1">
      <alignment horizontal="left" wrapText="1"/>
    </xf>
    <xf numFmtId="0" fontId="70" fillId="0" borderId="9" xfId="23" applyFont="1" applyBorder="1" applyAlignment="1">
      <alignment horizontal="left" vertical="center" wrapText="1" indent="2"/>
    </xf>
    <xf numFmtId="0" fontId="70" fillId="0" borderId="9" xfId="0" applyFont="1" applyBorder="1" applyAlignment="1">
      <alignment horizontal="left" vertical="top" wrapText="1" indent="2"/>
    </xf>
    <xf numFmtId="0" fontId="68" fillId="0" borderId="19" xfId="0" applyFont="1" applyBorder="1" applyAlignment="1">
      <alignment wrapText="1"/>
    </xf>
    <xf numFmtId="0" fontId="70" fillId="0" borderId="9" xfId="0" applyFont="1" applyBorder="1" applyAlignment="1">
      <alignment horizontal="left" vertical="top" wrapText="1"/>
    </xf>
    <xf numFmtId="0" fontId="70" fillId="0" borderId="9" xfId="0" applyFont="1" applyBorder="1" applyAlignment="1">
      <alignment horizontal="left" indent="1"/>
    </xf>
    <xf numFmtId="0" fontId="70" fillId="0" borderId="9" xfId="0" applyFont="1" applyBorder="1" applyAlignment="1">
      <alignment horizontal="left" indent="2"/>
    </xf>
    <xf numFmtId="49" fontId="70" fillId="0" borderId="9" xfId="0" applyNumberFormat="1" applyFont="1" applyBorder="1" applyAlignment="1">
      <alignment horizontal="left" indent="3"/>
    </xf>
    <xf numFmtId="49" fontId="70" fillId="0" borderId="9" xfId="0" applyNumberFormat="1" applyFont="1" applyBorder="1" applyAlignment="1">
      <alignment vertical="center"/>
    </xf>
    <xf numFmtId="49" fontId="70" fillId="0" borderId="9" xfId="0" applyNumberFormat="1" applyFont="1" applyBorder="1" applyAlignment="1">
      <alignment horizontal="left" vertical="top" wrapText="1" indent="2"/>
    </xf>
    <xf numFmtId="49" fontId="70" fillId="0" borderId="9" xfId="0" applyNumberFormat="1" applyFont="1" applyBorder="1" applyAlignment="1">
      <alignment horizontal="left" vertical="top" wrapText="1"/>
    </xf>
    <xf numFmtId="49" fontId="70" fillId="0" borderId="9" xfId="0" applyNumberFormat="1" applyFont="1" applyBorder="1" applyAlignment="1">
      <alignment horizontal="left" wrapText="1" indent="3"/>
    </xf>
    <xf numFmtId="49" fontId="70" fillId="0" borderId="9" xfId="0" applyNumberFormat="1" applyFont="1" applyBorder="1" applyAlignment="1">
      <alignment horizontal="left" wrapText="1" indent="2"/>
    </xf>
    <xf numFmtId="49" fontId="70" fillId="0" borderId="9" xfId="0" applyNumberFormat="1" applyFont="1" applyBorder="1" applyAlignment="1">
      <alignment horizontal="left" vertical="center" wrapText="1" indent="3"/>
    </xf>
    <xf numFmtId="0" fontId="57" fillId="0" borderId="0" xfId="0" applyFont="1" applyAlignment="1">
      <alignment horizontal="left" indent="1"/>
    </xf>
    <xf numFmtId="49" fontId="70" fillId="0" borderId="9" xfId="0" applyNumberFormat="1" applyFont="1" applyBorder="1" applyAlignment="1">
      <alignment vertical="top" wrapText="1"/>
    </xf>
    <xf numFmtId="0" fontId="57" fillId="0" borderId="0" xfId="0" applyFont="1" applyAlignment="1">
      <alignment horizontal="left" indent="2"/>
    </xf>
    <xf numFmtId="49" fontId="57" fillId="0" borderId="0" xfId="0" applyNumberFormat="1" applyFont="1" applyAlignment="1">
      <alignment horizontal="left" indent="3"/>
    </xf>
    <xf numFmtId="49" fontId="57" fillId="0" borderId="0" xfId="0" applyNumberFormat="1" applyFont="1" applyAlignment="1">
      <alignment horizontal="left" indent="1"/>
    </xf>
    <xf numFmtId="49" fontId="57" fillId="0" borderId="0" xfId="0" applyNumberFormat="1" applyFont="1" applyAlignment="1">
      <alignment horizontal="left" wrapText="1" indent="2"/>
    </xf>
    <xf numFmtId="49" fontId="70" fillId="0" borderId="0" xfId="0" applyNumberFormat="1" applyFont="1" applyAlignment="1">
      <alignment horizontal="right" vertical="center"/>
    </xf>
    <xf numFmtId="49" fontId="57" fillId="0" borderId="0" xfId="0" applyNumberFormat="1" applyFont="1" applyAlignment="1">
      <alignment horizontal="left" wrapText="1" indent="3"/>
    </xf>
    <xf numFmtId="0" fontId="57" fillId="0" borderId="0" xfId="0" applyFont="1" applyAlignment="1">
      <alignment horizontal="left" wrapText="1" indent="1"/>
    </xf>
    <xf numFmtId="0" fontId="70" fillId="0" borderId="9" xfId="0" applyFont="1" applyBorder="1" applyAlignment="1">
      <alignment horizontal="left" vertical="center" wrapText="1" indent="1"/>
    </xf>
    <xf numFmtId="0" fontId="70" fillId="0" borderId="9" xfId="0" applyFont="1" applyBorder="1" applyAlignment="1">
      <alignment horizontal="left" vertical="center" indent="1"/>
    </xf>
    <xf numFmtId="0" fontId="70" fillId="0" borderId="14" xfId="0" applyFont="1" applyBorder="1" applyAlignment="1">
      <alignment horizontal="left" indent="2"/>
    </xf>
    <xf numFmtId="0" fontId="70" fillId="0" borderId="90" xfId="0" applyFont="1" applyBorder="1" applyAlignment="1">
      <alignment horizontal="left" vertical="center" wrapText="1" readingOrder="1"/>
    </xf>
    <xf numFmtId="0" fontId="70" fillId="0" borderId="14" xfId="0" applyFont="1" applyBorder="1" applyAlignment="1">
      <alignment vertical="center" wrapText="1"/>
    </xf>
    <xf numFmtId="0" fontId="70" fillId="0" borderId="9" xfId="0" applyFont="1" applyBorder="1" applyAlignment="1">
      <alignment horizontal="center"/>
    </xf>
    <xf numFmtId="0" fontId="70" fillId="0" borderId="9" xfId="0" applyFont="1" applyBorder="1" applyAlignment="1">
      <alignment horizontal="left" vertical="center" wrapText="1" readingOrder="1"/>
    </xf>
    <xf numFmtId="0" fontId="67" fillId="0" borderId="0" xfId="0" applyFont="1" applyAlignment="1">
      <alignment horizontal="left" indent="2"/>
    </xf>
    <xf numFmtId="0" fontId="56" fillId="0" borderId="0" xfId="0" applyFont="1" applyAlignment="1">
      <alignment horizontal="left" vertical="center" indent="1"/>
    </xf>
    <xf numFmtId="0" fontId="56" fillId="0" borderId="0" xfId="0" applyFont="1" applyAlignment="1">
      <alignment vertical="center" wrapText="1"/>
    </xf>
    <xf numFmtId="0" fontId="74" fillId="0" borderId="0" xfId="0" applyFont="1" applyAlignment="1">
      <alignment horizontal="left" vertical="center" wrapText="1" readingOrder="1"/>
    </xf>
    <xf numFmtId="49" fontId="70" fillId="0" borderId="0" xfId="0" applyNumberFormat="1" applyFont="1" applyAlignment="1">
      <alignment horizontal="center" vertical="center"/>
    </xf>
    <xf numFmtId="0" fontId="67" fillId="0" borderId="0" xfId="0" applyFont="1" applyAlignment="1">
      <alignment horizontal="left" vertical="center" wrapText="1"/>
    </xf>
    <xf numFmtId="0" fontId="56" fillId="0" borderId="0" xfId="0" applyFont="1" applyAlignment="1">
      <alignment horizontal="left" vertical="center" wrapText="1"/>
    </xf>
    <xf numFmtId="0" fontId="70" fillId="0" borderId="0" xfId="0" applyFont="1" applyAlignment="1">
      <alignment vertical="center" wrapText="1"/>
    </xf>
    <xf numFmtId="0" fontId="70" fillId="0" borderId="0" xfId="0" applyFont="1" applyAlignment="1">
      <alignment horizontal="left" vertical="center" wrapText="1"/>
    </xf>
    <xf numFmtId="0" fontId="7" fillId="0" borderId="0" xfId="0" applyFont="1" applyFill="1"/>
    <xf numFmtId="0" fontId="4" fillId="0" borderId="6" xfId="0" applyFont="1" applyFill="1" applyBorder="1" applyAlignment="1">
      <alignment horizontal="left" vertical="center" wrapText="1" indent="1"/>
    </xf>
    <xf numFmtId="165" fontId="7" fillId="0" borderId="9" xfId="0" applyNumberFormat="1" applyFont="1" applyFill="1" applyBorder="1" applyAlignment="1" applyProtection="1">
      <alignment vertical="center" wrapText="1"/>
      <protection locked="0"/>
    </xf>
    <xf numFmtId="165" fontId="5" fillId="0" borderId="9" xfId="0" applyNumberFormat="1" applyFont="1" applyFill="1" applyBorder="1" applyAlignment="1" applyProtection="1">
      <alignment vertical="center"/>
      <protection locked="0"/>
    </xf>
    <xf numFmtId="165" fontId="14" fillId="0" borderId="9" xfId="0" applyNumberFormat="1" applyFont="1" applyFill="1" applyBorder="1" applyAlignment="1" applyProtection="1">
      <alignment vertical="center"/>
      <protection locked="0"/>
    </xf>
    <xf numFmtId="9" fontId="5" fillId="0" borderId="12" xfId="2" applyFont="1" applyFill="1" applyBorder="1" applyAlignment="1" applyProtection="1">
      <alignment vertical="center"/>
      <protection locked="0"/>
    </xf>
    <xf numFmtId="165" fontId="14" fillId="0" borderId="14" xfId="0" applyNumberFormat="1" applyFont="1" applyFill="1" applyBorder="1" applyAlignment="1" applyProtection="1">
      <alignment vertical="center"/>
      <protection locked="0"/>
    </xf>
    <xf numFmtId="165" fontId="5" fillId="0" borderId="12" xfId="0" applyNumberFormat="1" applyFont="1" applyFill="1" applyBorder="1" applyAlignment="1" applyProtection="1">
      <alignment vertical="center"/>
      <protection locked="0"/>
    </xf>
    <xf numFmtId="165" fontId="14" fillId="0" borderId="12" xfId="0" applyNumberFormat="1" applyFont="1" applyFill="1" applyBorder="1" applyAlignment="1" applyProtection="1">
      <alignment vertical="center"/>
      <protection locked="0"/>
    </xf>
    <xf numFmtId="165" fontId="6" fillId="0" borderId="9" xfId="0" applyNumberFormat="1" applyFont="1" applyFill="1" applyBorder="1" applyAlignment="1" applyProtection="1">
      <alignment vertical="center" wrapText="1"/>
      <protection locked="0"/>
    </xf>
    <xf numFmtId="166" fontId="5" fillId="0" borderId="9" xfId="2" applyNumberFormat="1" applyFont="1" applyFill="1" applyBorder="1" applyAlignment="1" applyProtection="1">
      <alignment vertical="center"/>
      <protection locked="0"/>
    </xf>
    <xf numFmtId="165" fontId="14" fillId="0" borderId="15" xfId="0" applyNumberFormat="1" applyFont="1" applyFill="1" applyBorder="1" applyAlignment="1" applyProtection="1">
      <alignment vertical="center"/>
      <protection locked="0"/>
    </xf>
    <xf numFmtId="9" fontId="14" fillId="0" borderId="18" xfId="2" applyFont="1" applyFill="1" applyBorder="1" applyAlignment="1" applyProtection="1">
      <alignment vertical="center"/>
      <protection locked="0"/>
    </xf>
    <xf numFmtId="10" fontId="7" fillId="0" borderId="12" xfId="2" applyNumberFormat="1" applyFont="1" applyFill="1" applyBorder="1" applyAlignment="1" applyProtection="1">
      <alignment vertical="center" wrapText="1"/>
      <protection locked="0"/>
    </xf>
    <xf numFmtId="164" fontId="12" fillId="10" borderId="0" xfId="4" applyFill="1"/>
    <xf numFmtId="164" fontId="12" fillId="10" borderId="10" xfId="4" applyFill="1" applyBorder="1"/>
    <xf numFmtId="0" fontId="0" fillId="0" borderId="0" xfId="0" applyFill="1"/>
    <xf numFmtId="167" fontId="2" fillId="0" borderId="0" xfId="1" applyNumberFormat="1" applyFont="1" applyFill="1"/>
    <xf numFmtId="168" fontId="0" fillId="0" borderId="9" xfId="1" applyNumberFormat="1" applyFont="1" applyFill="1" applyBorder="1"/>
    <xf numFmtId="167" fontId="0" fillId="0" borderId="9" xfId="1" applyNumberFormat="1" applyFont="1" applyFill="1" applyBorder="1"/>
    <xf numFmtId="165" fontId="5" fillId="0" borderId="9" xfId="0" applyNumberFormat="1" applyFont="1" applyFill="1" applyBorder="1" applyAlignment="1">
      <alignment horizontal="right"/>
    </xf>
    <xf numFmtId="0" fontId="4" fillId="0" borderId="6" xfId="0" applyFont="1" applyFill="1" applyBorder="1" applyAlignment="1">
      <alignment horizontal="center" vertical="center" wrapText="1"/>
    </xf>
    <xf numFmtId="3" fontId="34" fillId="0" borderId="20" xfId="0" applyNumberFormat="1" applyFont="1" applyFill="1" applyBorder="1" applyAlignment="1">
      <alignment vertical="center" wrapText="1"/>
    </xf>
    <xf numFmtId="0" fontId="2" fillId="0" borderId="0" xfId="0" applyFont="1" applyFill="1"/>
    <xf numFmtId="167" fontId="2" fillId="0" borderId="0" xfId="1" applyNumberFormat="1" applyFont="1" applyFill="1" applyAlignment="1">
      <alignment wrapText="1"/>
    </xf>
    <xf numFmtId="0" fontId="0" fillId="0" borderId="0" xfId="0" applyFill="1" applyAlignment="1">
      <alignment wrapText="1"/>
    </xf>
    <xf numFmtId="0" fontId="7" fillId="0" borderId="8" xfId="0" applyFont="1" applyFill="1" applyBorder="1" applyAlignment="1">
      <alignment vertical="center"/>
    </xf>
    <xf numFmtId="0" fontId="6" fillId="0" borderId="9" xfId="10" applyFont="1" applyFill="1" applyBorder="1" applyAlignment="1" applyProtection="1">
      <alignment horizontal="left" vertical="center"/>
      <protection locked="0"/>
    </xf>
    <xf numFmtId="165" fontId="7" fillId="0" borderId="9" xfId="0" applyNumberFormat="1" applyFont="1" applyFill="1" applyBorder="1"/>
    <xf numFmtId="165" fontId="7" fillId="0" borderId="20" xfId="0" applyNumberFormat="1" applyFont="1" applyFill="1" applyBorder="1"/>
    <xf numFmtId="170" fontId="7" fillId="0" borderId="12" xfId="0" applyNumberFormat="1" applyFont="1" applyFill="1" applyBorder="1"/>
    <xf numFmtId="0" fontId="31" fillId="0" borderId="0" xfId="0" applyFont="1" applyFill="1"/>
    <xf numFmtId="167" fontId="37" fillId="0" borderId="0" xfId="1" applyNumberFormat="1" applyFont="1" applyFill="1"/>
    <xf numFmtId="165" fontId="7" fillId="0" borderId="0" xfId="0" applyNumberFormat="1" applyFont="1" applyFill="1"/>
    <xf numFmtId="3" fontId="7" fillId="0" borderId="0" xfId="0" applyNumberFormat="1" applyFont="1" applyFill="1"/>
    <xf numFmtId="38" fontId="7" fillId="0" borderId="0" xfId="0" applyNumberFormat="1" applyFont="1" applyFill="1"/>
    <xf numFmtId="167" fontId="39" fillId="0" borderId="0" xfId="1" applyNumberFormat="1" applyFont="1" applyFill="1"/>
    <xf numFmtId="167" fontId="4" fillId="0" borderId="0" xfId="6" applyNumberFormat="1" applyFont="1" applyFill="1"/>
    <xf numFmtId="167" fontId="4" fillId="0" borderId="0" xfId="21" applyNumberFormat="1" applyFill="1"/>
    <xf numFmtId="167" fontId="54" fillId="0" borderId="0" xfId="21" applyNumberFormat="1" applyFont="1" applyFill="1"/>
    <xf numFmtId="167" fontId="2" fillId="0" borderId="0" xfId="0" applyNumberFormat="1" applyFont="1" applyFill="1"/>
    <xf numFmtId="43" fontId="2" fillId="0" borderId="0" xfId="0" applyNumberFormat="1" applyFont="1" applyFill="1"/>
    <xf numFmtId="167" fontId="7" fillId="0" borderId="12" xfId="1" applyNumberFormat="1" applyFont="1" applyFill="1" applyBorder="1"/>
    <xf numFmtId="0" fontId="60" fillId="0" borderId="9" xfId="0" applyFont="1" applyFill="1" applyBorder="1"/>
    <xf numFmtId="167" fontId="65" fillId="0" borderId="0" xfId="1" applyNumberFormat="1" applyFont="1" applyFill="1"/>
    <xf numFmtId="0" fontId="57" fillId="0" borderId="0" xfId="0" applyFont="1" applyFill="1"/>
    <xf numFmtId="2" fontId="57" fillId="0" borderId="0" xfId="0" applyNumberFormat="1" applyFont="1" applyFill="1"/>
    <xf numFmtId="171" fontId="57" fillId="0" borderId="0" xfId="0" applyNumberFormat="1" applyFont="1" applyFill="1"/>
    <xf numFmtId="43" fontId="62" fillId="0" borderId="0" xfId="0" applyNumberFormat="1" applyFont="1" applyFill="1"/>
    <xf numFmtId="0" fontId="62" fillId="0" borderId="0" xfId="0" applyFont="1" applyFill="1"/>
    <xf numFmtId="0" fontId="60" fillId="0" borderId="0" xfId="0" applyFont="1" applyFill="1"/>
    <xf numFmtId="43" fontId="56" fillId="0" borderId="9" xfId="1" applyFont="1" applyFill="1" applyBorder="1"/>
    <xf numFmtId="43" fontId="59" fillId="0" borderId="9" xfId="0" applyNumberFormat="1" applyFont="1" applyBorder="1"/>
    <xf numFmtId="43" fontId="56" fillId="0" borderId="9" xfId="0" applyNumberFormat="1" applyFont="1" applyBorder="1"/>
    <xf numFmtId="167" fontId="59" fillId="0" borderId="9" xfId="0" applyNumberFormat="1" applyFont="1" applyBorder="1"/>
    <xf numFmtId="43" fontId="56" fillId="0" borderId="9" xfId="1" applyFont="1" applyFill="1" applyBorder="1" applyAlignment="1">
      <alignment horizontal="left" indent="1"/>
    </xf>
    <xf numFmtId="167" fontId="56" fillId="0" borderId="9" xfId="1" applyNumberFormat="1" applyFont="1" applyFill="1" applyBorder="1" applyAlignment="1">
      <alignment horizontal="left" indent="1"/>
    </xf>
    <xf numFmtId="167" fontId="56" fillId="0" borderId="9" xfId="1" applyNumberFormat="1" applyFont="1" applyFill="1" applyBorder="1"/>
    <xf numFmtId="0" fontId="56" fillId="0" borderId="9" xfId="0" applyFont="1" applyFill="1" applyBorder="1" applyAlignment="1">
      <alignment horizontal="left" indent="1"/>
    </xf>
    <xf numFmtId="167" fontId="69" fillId="0" borderId="0" xfId="1" applyNumberFormat="1" applyFont="1" applyFill="1"/>
    <xf numFmtId="0" fontId="7" fillId="0" borderId="9" xfId="0" applyFont="1" applyBorder="1"/>
    <xf numFmtId="0" fontId="76" fillId="0" borderId="9" xfId="25" applyFont="1" applyBorder="1" applyAlignment="1">
      <alignment horizontal="center" vertical="center"/>
    </xf>
    <xf numFmtId="0" fontId="6" fillId="6" borderId="9" xfId="25" applyFont="1" applyFill="1" applyBorder="1" applyAlignment="1">
      <alignment horizontal="right" indent="1"/>
    </xf>
    <xf numFmtId="0" fontId="5" fillId="6" borderId="9" xfId="25" applyFont="1" applyFill="1" applyBorder="1" applyAlignment="1">
      <alignment horizontal="left" wrapText="1" indent="1"/>
    </xf>
    <xf numFmtId="0" fontId="77" fillId="0" borderId="9" xfId="0" applyFont="1" applyBorder="1"/>
    <xf numFmtId="0" fontId="1" fillId="0" borderId="0" xfId="0" applyFont="1"/>
    <xf numFmtId="0" fontId="5" fillId="0" borderId="9" xfId="25" applyFont="1" applyBorder="1" applyAlignment="1">
      <alignment horizontal="left" wrapText="1" indent="1"/>
    </xf>
    <xf numFmtId="0" fontId="6" fillId="6" borderId="14" xfId="25" applyFont="1" applyFill="1" applyBorder="1" applyAlignment="1">
      <alignment horizontal="right" indent="1"/>
    </xf>
    <xf numFmtId="0" fontId="5" fillId="0" borderId="14" xfId="25" applyFont="1" applyBorder="1" applyAlignment="1">
      <alignment horizontal="left" wrapText="1" indent="1"/>
    </xf>
    <xf numFmtId="0" fontId="45" fillId="0" borderId="32" xfId="0" applyFont="1" applyBorder="1" applyAlignment="1">
      <alignment horizontal="left" vertical="center" wrapText="1"/>
    </xf>
    <xf numFmtId="0" fontId="45" fillId="0" borderId="69" xfId="0" applyFont="1" applyBorder="1" applyAlignment="1">
      <alignment horizontal="left" vertical="center" wrapText="1"/>
    </xf>
    <xf numFmtId="0" fontId="45" fillId="0" borderId="0" xfId="0" applyFont="1" applyAlignment="1">
      <alignment wrapText="1"/>
    </xf>
    <xf numFmtId="0" fontId="6" fillId="6" borderId="9" xfId="25" applyFont="1" applyFill="1" applyBorder="1"/>
    <xf numFmtId="0" fontId="78" fillId="0" borderId="9" xfId="26" applyFill="1" applyBorder="1" applyAlignment="1" applyProtection="1"/>
    <xf numFmtId="0" fontId="78" fillId="0" borderId="9" xfId="26" applyFill="1" applyBorder="1" applyAlignment="1" applyProtection="1">
      <alignment horizontal="left" vertical="center" wrapText="1"/>
    </xf>
    <xf numFmtId="49" fontId="40" fillId="0" borderId="9" xfId="0" applyNumberFormat="1" applyFont="1" applyBorder="1" applyAlignment="1">
      <alignment horizontal="right" vertical="center" wrapText="1"/>
    </xf>
    <xf numFmtId="0" fontId="78" fillId="0" borderId="9" xfId="26" applyFill="1" applyBorder="1" applyAlignment="1" applyProtection="1">
      <alignment horizontal="left" vertical="center"/>
    </xf>
    <xf numFmtId="0" fontId="78" fillId="0" borderId="9" xfId="26" applyFill="1" applyBorder="1" applyAlignment="1" applyProtection="1">
      <alignment horizontal="left" vertical="top" wrapText="1"/>
    </xf>
    <xf numFmtId="0" fontId="18" fillId="0" borderId="9" xfId="0" applyFont="1" applyBorder="1" applyAlignment="1">
      <alignment horizontal="justify" vertical="center" wrapText="1"/>
    </xf>
    <xf numFmtId="0" fontId="6" fillId="0" borderId="9" xfId="10" applyFont="1" applyFill="1" applyBorder="1" applyAlignment="1" applyProtection="1">
      <alignment vertical="center" wrapText="1"/>
      <protection locked="0"/>
    </xf>
    <xf numFmtId="0" fontId="75" fillId="0" borderId="9" xfId="24" applyBorder="1"/>
  </cellXfs>
  <cellStyles count="27">
    <cellStyle name="=C:\WINNT35\SYSTEM32\COMMAND.COM" xfId="19" xr:uid="{30BD35FD-9017-414D-9BB6-C120597AFF4D}"/>
    <cellStyle name="1Normal 2" xfId="4" xr:uid="{F3EA5D49-12C5-4CDC-ADB4-4DC41DFD21D7}"/>
    <cellStyle name="Comma" xfId="1" builtinId="3"/>
    <cellStyle name="Comma 10" xfId="20" xr:uid="{C5588BBF-911C-4D98-8E1A-00B679DB33D7}"/>
    <cellStyle name="Comma 10 12" xfId="6" xr:uid="{68ED4BE4-F5DE-45C2-95AF-906F4F0A4FF5}"/>
    <cellStyle name="Comma 111" xfId="22" xr:uid="{55993882-52FF-4E41-B662-1C85ECD8547D}"/>
    <cellStyle name="Comma 2" xfId="14" xr:uid="{0E8C3BAC-FEA1-49E5-873E-0AD0A91E07CE}"/>
    <cellStyle name="Comma 3" xfId="9" xr:uid="{625AA4AF-97C0-4CC0-9F43-814F535F95F8}"/>
    <cellStyle name="Hyperlink" xfId="24" builtinId="8"/>
    <cellStyle name="Hyperlink 2" xfId="26" xr:uid="{98B9E899-A892-47E2-B5DA-CEED25CF34D5}"/>
    <cellStyle name="Normal" xfId="0" builtinId="0"/>
    <cellStyle name="Normal 10" xfId="12" xr:uid="{5A2D3058-6BD5-4BDC-BAA0-76D3D0608CB2}"/>
    <cellStyle name="Normal 10 2" xfId="21" xr:uid="{408C8C92-FA63-4963-8C21-4F8A5D31BF3F}"/>
    <cellStyle name="Normal 121 2" xfId="16" xr:uid="{8F91CBAA-E055-46FF-AEEC-B5E859436E10}"/>
    <cellStyle name="Normal 122" xfId="25" xr:uid="{2E22D342-E825-492A-9D0B-5528E8332E9A}"/>
    <cellStyle name="Normal 123" xfId="5" xr:uid="{BA0E082D-446F-4D2A-AF67-2F2E8320E04F}"/>
    <cellStyle name="Normal 2" xfId="3" xr:uid="{A35A5230-3CE9-42AB-B97B-7B65A1BBDD6E}"/>
    <cellStyle name="Normal 2 2" xfId="17" xr:uid="{6291824E-DE61-4723-96AE-DE7EB85CEEC0}"/>
    <cellStyle name="Normal 3 10 2 2" xfId="23" xr:uid="{57951F9D-4FE9-4119-8D60-2F8B6205B0FE}"/>
    <cellStyle name="Normal 4" xfId="10" xr:uid="{32C5CD46-2642-47C7-A63C-2078CA634818}"/>
    <cellStyle name="Normal 4 2" xfId="11" xr:uid="{A3C683B5-634F-4C7F-A469-B4F75E294BB3}"/>
    <cellStyle name="Normal_Capital &amp; RWA N" xfId="15" xr:uid="{65FFDD92-7688-40F0-9069-A3969D822622}"/>
    <cellStyle name="Normal_Capital &amp; RWA N 2" xfId="13" xr:uid="{78FB1C2F-19AB-481F-A326-EB52852923F3}"/>
    <cellStyle name="Normal_Casestdy draft" xfId="18" xr:uid="{C3AAA22F-B512-49BB-907A-BEE301D00B2B}"/>
    <cellStyle name="Normal_Casestdy draft 2" xfId="8" xr:uid="{1A45E019-9049-4060-B815-EDBD748A2DD7}"/>
    <cellStyle name="Percent" xfId="2" builtinId="5"/>
    <cellStyle name="Percent 22 2" xfId="7" xr:uid="{FA8E9805-D586-4047-AD4C-DE12499E9502}"/>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855F70FF-C88A-4CFA-9B1A-7F188FE65AAB}"/>
            </a:ext>
          </a:extLst>
        </xdr:cNvPr>
        <xdr:cNvCxnSpPr/>
      </xdr:nvCxnSpPr>
      <xdr:spPr>
        <a:xfrm>
          <a:off x="723900" y="1059180"/>
          <a:ext cx="6324600" cy="7600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potskhverashvili\AppData\Local\Microsoft\Windows\INetCache\Content.Outlook\EVHQ9SO7\PG1-BBB_I-QQ-YYYYMMDD.xlsx" TargetMode="External"/><Relationship Id="rId1" Type="http://schemas.openxmlformats.org/officeDocument/2006/relationships/externalLinkPath" Target="/Users/i.potskhverashvili/AppData/Local/Microsoft/Windows/INetCache/Content.Outlook/EVHQ9SO7/PG1-BBB_I-QQ-YYYYMMDD.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 val="Dynamic"/>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1. key ratios"/>
      <sheetName val="2. SOFP"/>
      <sheetName val="3. SOPL"/>
      <sheetName val="4. Off-balance"/>
      <sheetName val="5. RWA"/>
      <sheetName val="6. Administrators-shareholders"/>
      <sheetName val="7. LI1"/>
      <sheetName val="8. LI2"/>
      <sheetName val="9. Capital"/>
      <sheetName val="9.1. Capital Requirements"/>
      <sheetName val="10. CC2"/>
      <sheetName val="11. CRWA"/>
      <sheetName val="12. CRM"/>
      <sheetName val="13. CRME"/>
      <sheetName val="14. LCR"/>
      <sheetName val="15. CCR"/>
      <sheetName val="15.1. LR"/>
      <sheetName val="16. NSFR"/>
      <sheetName val=" 17. Residual Maturity"/>
      <sheetName val="18. Assets by Exposure classes"/>
      <sheetName val="19. Assets by Risk Sectors"/>
      <sheetName val="20. Reserves"/>
      <sheetName val="21. NPL"/>
      <sheetName val="22. Quality"/>
      <sheetName val="23. LTV"/>
      <sheetName val="24. Risk Sector"/>
      <sheetName val="25. Collateral"/>
      <sheetName val="26. Retail Products"/>
      <sheetName val="Instr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AF806-C5CF-4F67-9AE3-B700E0A04459}">
  <sheetPr>
    <tabColor theme="2" tint="-9.9978637043366805E-2"/>
  </sheetPr>
  <dimension ref="A1:C35"/>
  <sheetViews>
    <sheetView zoomScale="85" zoomScaleNormal="85" workbookViewId="0">
      <pane xSplit="1" ySplit="7" topLeftCell="B8" activePane="bottomRight" state="frozen"/>
      <selection pane="topRight" activeCell="B1" sqref="B1"/>
      <selection pane="bottomLeft" activeCell="A8" sqref="A8"/>
      <selection pane="bottomRight" activeCell="C13" sqref="C13"/>
    </sheetView>
  </sheetViews>
  <sheetFormatPr defaultRowHeight="14.4" x14ac:dyDescent="0.3"/>
  <cols>
    <col min="1" max="1" width="10.21875" style="4" customWidth="1"/>
    <col min="2" max="2" width="153" bestFit="1" customWidth="1"/>
    <col min="3" max="3" width="39.44140625" customWidth="1"/>
    <col min="7" max="7" width="25" customWidth="1"/>
  </cols>
  <sheetData>
    <row r="1" spans="1:3" x14ac:dyDescent="0.3">
      <c r="A1" s="957"/>
      <c r="B1" s="958" t="s">
        <v>979</v>
      </c>
      <c r="C1" s="357"/>
    </row>
    <row r="2" spans="1:3" s="962" customFormat="1" x14ac:dyDescent="0.3">
      <c r="A2" s="959">
        <v>1</v>
      </c>
      <c r="B2" s="960" t="s">
        <v>980</v>
      </c>
      <c r="C2" s="961" t="s">
        <v>199</v>
      </c>
    </row>
    <row r="3" spans="1:3" s="962" customFormat="1" x14ac:dyDescent="0.3">
      <c r="A3" s="959">
        <v>2</v>
      </c>
      <c r="B3" s="963" t="s">
        <v>981</v>
      </c>
      <c r="C3" s="961" t="s">
        <v>1003</v>
      </c>
    </row>
    <row r="4" spans="1:3" s="962" customFormat="1" x14ac:dyDescent="0.3">
      <c r="A4" s="959">
        <v>3</v>
      </c>
      <c r="B4" s="963" t="s">
        <v>982</v>
      </c>
      <c r="C4" s="961" t="s">
        <v>1004</v>
      </c>
    </row>
    <row r="5" spans="1:3" s="962" customFormat="1" x14ac:dyDescent="0.3">
      <c r="A5" s="964">
        <v>4</v>
      </c>
      <c r="B5" s="965" t="s">
        <v>983</v>
      </c>
      <c r="C5" s="977" t="s">
        <v>1002</v>
      </c>
    </row>
    <row r="6" spans="1:3" s="968" customFormat="1" ht="65.25" customHeight="1" x14ac:dyDescent="0.3">
      <c r="A6" s="966" t="s">
        <v>984</v>
      </c>
      <c r="B6" s="967"/>
      <c r="C6" s="967"/>
    </row>
    <row r="7" spans="1:3" x14ac:dyDescent="0.3">
      <c r="A7" s="969" t="s">
        <v>985</v>
      </c>
      <c r="B7" s="958" t="s">
        <v>986</v>
      </c>
    </row>
    <row r="8" spans="1:3" x14ac:dyDescent="0.3">
      <c r="A8" s="957">
        <v>1</v>
      </c>
      <c r="B8" s="970" t="s">
        <v>3</v>
      </c>
    </row>
    <row r="9" spans="1:3" x14ac:dyDescent="0.3">
      <c r="A9" s="957">
        <v>2</v>
      </c>
      <c r="B9" s="970" t="s">
        <v>987</v>
      </c>
    </row>
    <row r="10" spans="1:3" x14ac:dyDescent="0.3">
      <c r="A10" s="957">
        <v>3</v>
      </c>
      <c r="B10" s="970" t="s">
        <v>116</v>
      </c>
    </row>
    <row r="11" spans="1:3" x14ac:dyDescent="0.3">
      <c r="A11" s="957">
        <v>4</v>
      </c>
      <c r="B11" s="970" t="s">
        <v>988</v>
      </c>
    </row>
    <row r="12" spans="1:3" x14ac:dyDescent="0.3">
      <c r="A12" s="957">
        <v>5</v>
      </c>
      <c r="B12" s="970" t="s">
        <v>291</v>
      </c>
    </row>
    <row r="13" spans="1:3" x14ac:dyDescent="0.3">
      <c r="A13" s="957">
        <v>6</v>
      </c>
      <c r="B13" s="971" t="s">
        <v>154</v>
      </c>
    </row>
    <row r="14" spans="1:3" x14ac:dyDescent="0.3">
      <c r="A14" s="957">
        <v>7</v>
      </c>
      <c r="B14" s="970" t="s">
        <v>303</v>
      </c>
    </row>
    <row r="15" spans="1:3" x14ac:dyDescent="0.3">
      <c r="A15" s="957">
        <v>8</v>
      </c>
      <c r="B15" s="970" t="s">
        <v>314</v>
      </c>
    </row>
    <row r="16" spans="1:3" x14ac:dyDescent="0.3">
      <c r="A16" s="957">
        <v>9</v>
      </c>
      <c r="B16" s="970" t="s">
        <v>11</v>
      </c>
    </row>
    <row r="17" spans="1:2" x14ac:dyDescent="0.3">
      <c r="A17" s="972" t="s">
        <v>989</v>
      </c>
      <c r="B17" s="970" t="s">
        <v>326</v>
      </c>
    </row>
    <row r="18" spans="1:2" x14ac:dyDescent="0.3">
      <c r="A18" s="957">
        <v>10</v>
      </c>
      <c r="B18" s="970" t="s">
        <v>357</v>
      </c>
    </row>
    <row r="19" spans="1:2" x14ac:dyDescent="0.3">
      <c r="A19" s="957">
        <v>11</v>
      </c>
      <c r="B19" s="971" t="s">
        <v>990</v>
      </c>
    </row>
    <row r="20" spans="1:2" x14ac:dyDescent="0.3">
      <c r="A20" s="957">
        <v>12</v>
      </c>
      <c r="B20" s="971" t="s">
        <v>991</v>
      </c>
    </row>
    <row r="21" spans="1:2" x14ac:dyDescent="0.3">
      <c r="A21" s="957">
        <v>13</v>
      </c>
      <c r="B21" s="973" t="s">
        <v>992</v>
      </c>
    </row>
    <row r="22" spans="1:2" x14ac:dyDescent="0.3">
      <c r="A22" s="957">
        <v>14</v>
      </c>
      <c r="B22" s="970" t="s">
        <v>430</v>
      </c>
    </row>
    <row r="23" spans="1:2" x14ac:dyDescent="0.3">
      <c r="A23" s="957">
        <v>15</v>
      </c>
      <c r="B23" s="970" t="s">
        <v>298</v>
      </c>
    </row>
    <row r="24" spans="1:2" x14ac:dyDescent="0.3">
      <c r="A24" s="957">
        <v>15.1</v>
      </c>
      <c r="B24" s="970" t="s">
        <v>466</v>
      </c>
    </row>
    <row r="25" spans="1:2" x14ac:dyDescent="0.3">
      <c r="A25" s="957">
        <v>16</v>
      </c>
      <c r="B25" s="970" t="s">
        <v>43</v>
      </c>
    </row>
    <row r="26" spans="1:2" x14ac:dyDescent="0.3">
      <c r="A26" s="957">
        <v>17</v>
      </c>
      <c r="B26" s="970" t="s">
        <v>993</v>
      </c>
    </row>
    <row r="27" spans="1:2" x14ac:dyDescent="0.3">
      <c r="A27" s="957">
        <v>18</v>
      </c>
      <c r="B27" s="970" t="s">
        <v>994</v>
      </c>
    </row>
    <row r="28" spans="1:2" x14ac:dyDescent="0.3">
      <c r="A28" s="957">
        <v>19</v>
      </c>
      <c r="B28" s="970" t="s">
        <v>995</v>
      </c>
    </row>
    <row r="29" spans="1:2" x14ac:dyDescent="0.3">
      <c r="A29" s="957">
        <v>20</v>
      </c>
      <c r="B29" s="970" t="s">
        <v>996</v>
      </c>
    </row>
    <row r="30" spans="1:2" x14ac:dyDescent="0.3">
      <c r="A30" s="957">
        <v>21</v>
      </c>
      <c r="B30" s="970" t="s">
        <v>610</v>
      </c>
    </row>
    <row r="31" spans="1:2" x14ac:dyDescent="0.3">
      <c r="A31" s="957">
        <v>22</v>
      </c>
      <c r="B31" s="970" t="s">
        <v>997</v>
      </c>
    </row>
    <row r="32" spans="1:2" ht="26.4" x14ac:dyDescent="0.3">
      <c r="A32" s="957">
        <v>23</v>
      </c>
      <c r="B32" s="974" t="s">
        <v>998</v>
      </c>
    </row>
    <row r="33" spans="1:2" x14ac:dyDescent="0.3">
      <c r="A33" s="957">
        <v>24</v>
      </c>
      <c r="B33" s="970" t="s">
        <v>999</v>
      </c>
    </row>
    <row r="34" spans="1:2" x14ac:dyDescent="0.3">
      <c r="A34" s="957">
        <v>25</v>
      </c>
      <c r="B34" s="970" t="s">
        <v>1000</v>
      </c>
    </row>
    <row r="35" spans="1:2" x14ac:dyDescent="0.3">
      <c r="A35" s="957">
        <v>26</v>
      </c>
      <c r="B35" s="970" t="s">
        <v>1001</v>
      </c>
    </row>
  </sheetData>
  <mergeCells count="1">
    <mergeCell ref="A6:C6"/>
  </mergeCells>
  <hyperlinks>
    <hyperlink ref="B8" location="'1. key ratios'!A1" display="ცხრილი 1: ძირითადი მაჩვენებლები" xr:uid="{F460B3B4-E9EE-4174-BCC7-E0041AB07AF4}"/>
    <hyperlink ref="B9" location="'2. SOFP'!A1" display="საბალანსო უწყისი" xr:uid="{704B095B-F0E9-473E-80CD-72038CF61960}"/>
    <hyperlink ref="B10" location="'3. SOPL'!A1" display="მოგება-ზარალის ანგარიშგება" xr:uid="{B31A21C8-CEFB-48BE-950C-18AD30789BE1}"/>
    <hyperlink ref="B11" location="'4. Off-Balance'!A1" display="ბალანსგარეშე ანგარიშების უწყისი " xr:uid="{A20CF846-0755-45D6-B737-CB458EB80DDA}"/>
    <hyperlink ref="B12" location="'5. RWA'!A1" display="ცხრილი 5: რისკის მიხედვით შეწონილი რისკის პოზიციები" xr:uid="{23214CCA-1193-4D23-81E1-191F60A1F2DC}"/>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B327B715-8C9C-4E47-9AF5-3AF079441F8F}"/>
    <hyperlink ref="B13" location="'6. Administrators-shareholders'!A1" display="ინფორმაცია ბანკის სამეთვალყურეო საბჭოს, დირექტორატის და აქციონერთა შესახებ" xr:uid="{4E30C6A6-D8F0-4A16-B0AB-D1B0F2693F07}"/>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6A52BA78-28F5-456B-A6AD-2BBC5786B3B7}"/>
    <hyperlink ref="B16" location="'9. Capital'!A1" display="ცხრილი 9: საზედამხედველო კაპიტალი" xr:uid="{63A018F1-2148-4DB3-A671-EA24B7F540A9}"/>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96192570-F1BE-4CCB-83B7-7D7FBC20DB37}"/>
    <hyperlink ref="B20" location="'12. CRM'!A1" display="საკრედიტო რისკის მიტიგაცია" xr:uid="{30E94CAE-7039-4A8B-9015-B80784C5877D}"/>
    <hyperlink ref="B19" location="'11. CRWA'!A1" display="საკრედიტო რისკის მიხედვით შეწონილი რისკის პოზიციები" xr:uid="{818006AD-FBC8-4F48-9C0B-EAE299C420C5}"/>
    <hyperlink ref="B21" location="'13. CRME'!A1" display="სტანდარტიზებული მიდგომა - საკრედიტო რისკი საკრედიტო რისკის მიტიგაციის ეფექტი" xr:uid="{B10A28BF-0747-4614-8E9D-E36EFE0E3A26}"/>
    <hyperlink ref="B23" location="'15. CCR'!A1" display="კონტრაგენტთან დაკავშირებული საკრედიტო რისკის მიხედვით შეწონილი რისკის პოზიციები" xr:uid="{052D3303-1B9C-410E-B3D5-DB25FF05218F}"/>
    <hyperlink ref="B22" location="'14. LCR'!A1" display="ლიკვიდობის გადაფარვის კოეფიციენტი" xr:uid="{D1E576DB-A0D5-424A-A466-13AF52A1CC2B}"/>
    <hyperlink ref="B17" location="'9.1. Capital Requirements'!A1" display="კაპიტალის ადეკვატურობის მოთხოვნები" xr:uid="{6129C335-3541-4602-98A6-E5E725C1DF27}"/>
    <hyperlink ref="B24" location="'15.1. LR'!A1" display="ლევერიჯის კოეფიციენტი" xr:uid="{90D709DE-3F7F-4B49-93FF-4B4570469153}"/>
    <hyperlink ref="B25" location="'16. NSFR'!A1" display="წმინდა სტაბილური დაფინანსების კოეფიციენტი" xr:uid="{9875C2DB-01FC-4B04-B5C8-ACF53C4C2C4F}"/>
    <hyperlink ref="B26" location="' 17. Residual Maturity'!A1" display="რისკის პოზიციის ღირებულება ნარჩენი ვადიანობის  და რისკის კლასების მიხედვით" xr:uid="{899A9CE3-B4B8-416C-98F7-D06E5EF735B8}"/>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B8769908-07C3-4877-8714-F678225D58D9}"/>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B4A6B248-C858-4B42-A74D-0AA2040A0411}"/>
    <hyperlink ref="B30" location="'21. NPL'!A1" display="უმოქმედო სესხების ცვლილება" xr:uid="{2AA68441-BDA7-4747-8E3C-56ABC1B87E79}"/>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E2F84204-3832-44EC-9924-507405967688}"/>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BE2A8F14-E501-4DC5-944D-12E83F014F62}"/>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D7881B5B-DD1E-4723-ADFE-9066A2CE435E}"/>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D15F540F-8FF1-4AFC-AF62-2AC9941EE980}"/>
    <hyperlink ref="B29" location="'20. Reserves'!A1" display="რეზერვის ცვლილება სესხებზე და კორპორატიულ სავალო ფასიანი ქაღალდებზე" xr:uid="{6722610F-7D6C-47E1-AD2D-6A362CC2134F}"/>
    <hyperlink ref="B35" location="'26. Retail Products'!A1" display="ზოგადი ინფორმაცია საცალო პროდუქტებზე" xr:uid="{5D7F7535-20D2-4C2F-A224-01ED4E93A3A7}"/>
    <hyperlink ref="C5" r:id="rId1" xr:uid="{EC69C999-2D5D-4AAC-9F41-900984E44FBB}"/>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2A98-6A9C-4D52-A469-3A12FFD4E044}">
  <dimension ref="A1:E56"/>
  <sheetViews>
    <sheetView zoomScaleNormal="100" workbookViewId="0">
      <pane xSplit="1" ySplit="5" topLeftCell="B38" activePane="bottomRight" state="frozen"/>
      <selection activeCell="D1" sqref="D1:D3"/>
      <selection pane="topRight" activeCell="D1" sqref="D1:D3"/>
      <selection pane="bottomLeft" activeCell="D1" sqref="D1:D3"/>
      <selection pane="bottomRight" activeCell="C6" sqref="C6:C53"/>
    </sheetView>
  </sheetViews>
  <sheetFormatPr defaultRowHeight="14.4" x14ac:dyDescent="0.3"/>
  <cols>
    <col min="1" max="1" width="9.5546875" style="4" bestFit="1" customWidth="1"/>
    <col min="2" max="2" width="132.44140625" style="4" customWidth="1"/>
    <col min="3" max="3" width="18.44140625" style="4" customWidth="1"/>
    <col min="5" max="5" width="14.44140625" bestFit="1" customWidth="1"/>
  </cols>
  <sheetData>
    <row r="1" spans="1:5" x14ac:dyDescent="0.3">
      <c r="A1" s="1" t="s">
        <v>0</v>
      </c>
      <c r="B1" s="3" t="s">
        <v>199</v>
      </c>
      <c r="D1" s="4"/>
      <c r="E1" s="4"/>
    </row>
    <row r="2" spans="1:5" s="1" customFormat="1" ht="15.75" customHeight="1" x14ac:dyDescent="0.3">
      <c r="A2" s="1" t="s">
        <v>1</v>
      </c>
      <c r="B2" s="5">
        <f>'1. key ratios'!B2</f>
        <v>45016</v>
      </c>
    </row>
    <row r="3" spans="1:5" s="1" customFormat="1" ht="15.75" customHeight="1" x14ac:dyDescent="0.3"/>
    <row r="4" spans="1:5" ht="15" thickBot="1" x14ac:dyDescent="0.35">
      <c r="A4" s="4" t="s">
        <v>204</v>
      </c>
      <c r="B4" s="179" t="s">
        <v>11</v>
      </c>
    </row>
    <row r="5" spans="1:5" x14ac:dyDescent="0.3">
      <c r="A5" s="180" t="s">
        <v>6</v>
      </c>
      <c r="B5" s="181"/>
      <c r="C5" s="182" t="s">
        <v>52</v>
      </c>
    </row>
    <row r="6" spans="1:5" x14ac:dyDescent="0.3">
      <c r="A6" s="183">
        <v>1</v>
      </c>
      <c r="B6" s="184" t="s">
        <v>205</v>
      </c>
      <c r="C6" s="185">
        <v>55830214.83756277</v>
      </c>
    </row>
    <row r="7" spans="1:5" x14ac:dyDescent="0.3">
      <c r="A7" s="183">
        <v>2</v>
      </c>
      <c r="B7" s="186" t="s">
        <v>206</v>
      </c>
      <c r="C7" s="187">
        <v>62946400</v>
      </c>
    </row>
    <row r="8" spans="1:5" x14ac:dyDescent="0.3">
      <c r="A8" s="183">
        <v>3</v>
      </c>
      <c r="B8" s="188" t="s">
        <v>207</v>
      </c>
      <c r="C8" s="187"/>
    </row>
    <row r="9" spans="1:5" x14ac:dyDescent="0.3">
      <c r="A9" s="183">
        <v>4</v>
      </c>
      <c r="B9" s="188" t="s">
        <v>208</v>
      </c>
      <c r="C9" s="187"/>
    </row>
    <row r="10" spans="1:5" x14ac:dyDescent="0.3">
      <c r="A10" s="183">
        <v>5</v>
      </c>
      <c r="B10" s="188" t="s">
        <v>209</v>
      </c>
      <c r="C10" s="187">
        <v>4352500.4589957595</v>
      </c>
    </row>
    <row r="11" spans="1:5" x14ac:dyDescent="0.3">
      <c r="A11" s="183">
        <v>6</v>
      </c>
      <c r="B11" s="189" t="s">
        <v>210</v>
      </c>
      <c r="C11" s="187">
        <v>-11468685.621432994</v>
      </c>
    </row>
    <row r="12" spans="1:5" s="191" customFormat="1" x14ac:dyDescent="0.3">
      <c r="A12" s="183">
        <v>7</v>
      </c>
      <c r="B12" s="184" t="s">
        <v>211</v>
      </c>
      <c r="C12" s="190">
        <v>5128998.9589957595</v>
      </c>
    </row>
    <row r="13" spans="1:5" s="191" customFormat="1" x14ac:dyDescent="0.3">
      <c r="A13" s="183">
        <v>8</v>
      </c>
      <c r="B13" s="192" t="s">
        <v>203</v>
      </c>
      <c r="C13" s="193">
        <v>4352500.4589957595</v>
      </c>
    </row>
    <row r="14" spans="1:5" s="191" customFormat="1" ht="27.6" x14ac:dyDescent="0.3">
      <c r="A14" s="183">
        <v>9</v>
      </c>
      <c r="B14" s="194" t="s">
        <v>212</v>
      </c>
      <c r="C14" s="193"/>
    </row>
    <row r="15" spans="1:5" s="191" customFormat="1" x14ac:dyDescent="0.3">
      <c r="A15" s="183">
        <v>10</v>
      </c>
      <c r="B15" s="195" t="s">
        <v>74</v>
      </c>
      <c r="C15" s="193">
        <v>776498.50000000023</v>
      </c>
    </row>
    <row r="16" spans="1:5" s="191" customFormat="1" x14ac:dyDescent="0.3">
      <c r="A16" s="183">
        <v>11</v>
      </c>
      <c r="B16" s="196" t="s">
        <v>213</v>
      </c>
      <c r="C16" s="193"/>
    </row>
    <row r="17" spans="1:5" s="191" customFormat="1" x14ac:dyDescent="0.3">
      <c r="A17" s="183">
        <v>12</v>
      </c>
      <c r="B17" s="195" t="s">
        <v>214</v>
      </c>
      <c r="C17" s="193"/>
    </row>
    <row r="18" spans="1:5" s="191" customFormat="1" x14ac:dyDescent="0.3">
      <c r="A18" s="183">
        <v>13</v>
      </c>
      <c r="B18" s="195" t="s">
        <v>215</v>
      </c>
      <c r="C18" s="193"/>
    </row>
    <row r="19" spans="1:5" s="191" customFormat="1" x14ac:dyDescent="0.3">
      <c r="A19" s="183">
        <v>14</v>
      </c>
      <c r="B19" s="195" t="s">
        <v>216</v>
      </c>
      <c r="C19" s="193"/>
    </row>
    <row r="20" spans="1:5" s="191" customFormat="1" ht="27.6" x14ac:dyDescent="0.3">
      <c r="A20" s="183">
        <v>15</v>
      </c>
      <c r="B20" s="195" t="s">
        <v>217</v>
      </c>
      <c r="C20" s="193"/>
    </row>
    <row r="21" spans="1:5" s="191" customFormat="1" ht="27.6" x14ac:dyDescent="0.3">
      <c r="A21" s="183">
        <v>16</v>
      </c>
      <c r="B21" s="194" t="s">
        <v>218</v>
      </c>
      <c r="C21" s="193"/>
    </row>
    <row r="22" spans="1:5" s="191" customFormat="1" x14ac:dyDescent="0.3">
      <c r="A22" s="183">
        <v>17</v>
      </c>
      <c r="B22" s="197" t="s">
        <v>219</v>
      </c>
      <c r="C22" s="193"/>
    </row>
    <row r="23" spans="1:5" s="191" customFormat="1" x14ac:dyDescent="0.3">
      <c r="A23" s="183">
        <v>18</v>
      </c>
      <c r="B23" s="198" t="s">
        <v>220</v>
      </c>
      <c r="C23" s="193"/>
    </row>
    <row r="24" spans="1:5" s="191" customFormat="1" ht="27.6" x14ac:dyDescent="0.3">
      <c r="A24" s="183">
        <v>19</v>
      </c>
      <c r="B24" s="194" t="s">
        <v>221</v>
      </c>
      <c r="C24" s="193"/>
    </row>
    <row r="25" spans="1:5" s="191" customFormat="1" ht="27.6" x14ac:dyDescent="0.3">
      <c r="A25" s="183">
        <v>20</v>
      </c>
      <c r="B25" s="194" t="s">
        <v>222</v>
      </c>
      <c r="C25" s="193"/>
    </row>
    <row r="26" spans="1:5" s="191" customFormat="1" ht="27.6" x14ac:dyDescent="0.3">
      <c r="A26" s="183">
        <v>21</v>
      </c>
      <c r="B26" s="196" t="s">
        <v>223</v>
      </c>
      <c r="C26" s="193"/>
    </row>
    <row r="27" spans="1:5" s="191" customFormat="1" x14ac:dyDescent="0.3">
      <c r="A27" s="183">
        <v>22</v>
      </c>
      <c r="B27" s="196" t="s">
        <v>224</v>
      </c>
      <c r="C27" s="193"/>
    </row>
    <row r="28" spans="1:5" s="191" customFormat="1" ht="27.6" x14ac:dyDescent="0.3">
      <c r="A28" s="183">
        <v>23</v>
      </c>
      <c r="B28" s="196" t="s">
        <v>225</v>
      </c>
      <c r="C28" s="193"/>
    </row>
    <row r="29" spans="1:5" s="191" customFormat="1" x14ac:dyDescent="0.3">
      <c r="A29" s="183">
        <v>24</v>
      </c>
      <c r="B29" s="199" t="s">
        <v>9</v>
      </c>
      <c r="C29" s="190">
        <v>50701215.87856701</v>
      </c>
      <c r="E29" s="200"/>
    </row>
    <row r="30" spans="1:5" s="191" customFormat="1" x14ac:dyDescent="0.3">
      <c r="A30" s="201"/>
      <c r="B30" s="202"/>
      <c r="C30" s="193"/>
    </row>
    <row r="31" spans="1:5" s="191" customFormat="1" x14ac:dyDescent="0.3">
      <c r="A31" s="201">
        <v>25</v>
      </c>
      <c r="B31" s="199" t="s">
        <v>226</v>
      </c>
      <c r="C31" s="190">
        <v>0</v>
      </c>
    </row>
    <row r="32" spans="1:5" s="191" customFormat="1" x14ac:dyDescent="0.3">
      <c r="A32" s="201">
        <v>26</v>
      </c>
      <c r="B32" s="188" t="s">
        <v>227</v>
      </c>
      <c r="C32" s="203">
        <v>0</v>
      </c>
    </row>
    <row r="33" spans="1:3" s="191" customFormat="1" x14ac:dyDescent="0.3">
      <c r="A33" s="201">
        <v>27</v>
      </c>
      <c r="B33" s="204" t="s">
        <v>228</v>
      </c>
      <c r="C33" s="193"/>
    </row>
    <row r="34" spans="1:3" s="191" customFormat="1" x14ac:dyDescent="0.3">
      <c r="A34" s="201">
        <v>28</v>
      </c>
      <c r="B34" s="204" t="s">
        <v>229</v>
      </c>
      <c r="C34" s="193"/>
    </row>
    <row r="35" spans="1:3" s="191" customFormat="1" x14ac:dyDescent="0.3">
      <c r="A35" s="201">
        <v>29</v>
      </c>
      <c r="B35" s="188" t="s">
        <v>230</v>
      </c>
      <c r="C35" s="193"/>
    </row>
    <row r="36" spans="1:3" s="191" customFormat="1" x14ac:dyDescent="0.3">
      <c r="A36" s="201">
        <v>30</v>
      </c>
      <c r="B36" s="199" t="s">
        <v>231</v>
      </c>
      <c r="C36" s="190">
        <v>0</v>
      </c>
    </row>
    <row r="37" spans="1:3" s="191" customFormat="1" x14ac:dyDescent="0.3">
      <c r="A37" s="201">
        <v>31</v>
      </c>
      <c r="B37" s="194" t="s">
        <v>232</v>
      </c>
      <c r="C37" s="193"/>
    </row>
    <row r="38" spans="1:3" s="191" customFormat="1" x14ac:dyDescent="0.3">
      <c r="A38" s="201">
        <v>32</v>
      </c>
      <c r="B38" s="195" t="s">
        <v>233</v>
      </c>
      <c r="C38" s="193"/>
    </row>
    <row r="39" spans="1:3" s="191" customFormat="1" ht="27.6" x14ac:dyDescent="0.3">
      <c r="A39" s="201">
        <v>33</v>
      </c>
      <c r="B39" s="194" t="s">
        <v>234</v>
      </c>
      <c r="C39" s="193"/>
    </row>
    <row r="40" spans="1:3" s="191" customFormat="1" ht="27.6" x14ac:dyDescent="0.3">
      <c r="A40" s="201">
        <v>34</v>
      </c>
      <c r="B40" s="194" t="s">
        <v>222</v>
      </c>
      <c r="C40" s="193"/>
    </row>
    <row r="41" spans="1:3" s="191" customFormat="1" ht="27.6" x14ac:dyDescent="0.3">
      <c r="A41" s="201">
        <v>35</v>
      </c>
      <c r="B41" s="196" t="s">
        <v>235</v>
      </c>
      <c r="C41" s="193"/>
    </row>
    <row r="42" spans="1:3" s="191" customFormat="1" x14ac:dyDescent="0.3">
      <c r="A42" s="201">
        <v>36</v>
      </c>
      <c r="B42" s="199" t="s">
        <v>236</v>
      </c>
      <c r="C42" s="190">
        <v>0</v>
      </c>
    </row>
    <row r="43" spans="1:3" s="191" customFormat="1" x14ac:dyDescent="0.3">
      <c r="A43" s="201"/>
      <c r="B43" s="202"/>
      <c r="C43" s="193"/>
    </row>
    <row r="44" spans="1:3" s="191" customFormat="1" x14ac:dyDescent="0.3">
      <c r="A44" s="201">
        <v>37</v>
      </c>
      <c r="B44" s="205" t="s">
        <v>237</v>
      </c>
      <c r="C44" s="190">
        <v>2875000</v>
      </c>
    </row>
    <row r="45" spans="1:3" s="191" customFormat="1" x14ac:dyDescent="0.3">
      <c r="A45" s="201">
        <v>38</v>
      </c>
      <c r="B45" s="188" t="s">
        <v>238</v>
      </c>
      <c r="C45" s="193">
        <v>2875000</v>
      </c>
    </row>
    <row r="46" spans="1:3" s="191" customFormat="1" x14ac:dyDescent="0.3">
      <c r="A46" s="201">
        <v>39</v>
      </c>
      <c r="B46" s="188" t="s">
        <v>239</v>
      </c>
      <c r="C46" s="193"/>
    </row>
    <row r="47" spans="1:3" s="191" customFormat="1" x14ac:dyDescent="0.3">
      <c r="A47" s="201">
        <v>40</v>
      </c>
      <c r="B47" s="976" t="s">
        <v>240</v>
      </c>
      <c r="C47" s="193"/>
    </row>
    <row r="48" spans="1:3" s="191" customFormat="1" x14ac:dyDescent="0.3">
      <c r="A48" s="201">
        <v>41</v>
      </c>
      <c r="B48" s="205" t="s">
        <v>241</v>
      </c>
      <c r="C48" s="190">
        <v>0</v>
      </c>
    </row>
    <row r="49" spans="1:3" s="191" customFormat="1" x14ac:dyDescent="0.3">
      <c r="A49" s="201">
        <v>42</v>
      </c>
      <c r="B49" s="194" t="s">
        <v>242</v>
      </c>
      <c r="C49" s="193"/>
    </row>
    <row r="50" spans="1:3" s="191" customFormat="1" x14ac:dyDescent="0.3">
      <c r="A50" s="201">
        <v>43</v>
      </c>
      <c r="B50" s="195" t="s">
        <v>243</v>
      </c>
      <c r="C50" s="193"/>
    </row>
    <row r="51" spans="1:3" s="191" customFormat="1" ht="27.6" x14ac:dyDescent="0.3">
      <c r="A51" s="201">
        <v>44</v>
      </c>
      <c r="B51" s="194" t="s">
        <v>244</v>
      </c>
      <c r="C51" s="193"/>
    </row>
    <row r="52" spans="1:3" s="191" customFormat="1" ht="27.6" x14ac:dyDescent="0.3">
      <c r="A52" s="201">
        <v>45</v>
      </c>
      <c r="B52" s="194" t="s">
        <v>222</v>
      </c>
      <c r="C52" s="193"/>
    </row>
    <row r="53" spans="1:3" s="191" customFormat="1" ht="15" thickBot="1" x14ac:dyDescent="0.35">
      <c r="A53" s="201">
        <v>46</v>
      </c>
      <c r="B53" s="206" t="s">
        <v>245</v>
      </c>
      <c r="C53" s="207">
        <v>2875000</v>
      </c>
    </row>
    <row r="56" spans="1:3" x14ac:dyDescent="0.3">
      <c r="B56" s="4" t="s">
        <v>246</v>
      </c>
    </row>
  </sheetData>
  <dataValidations count="1">
    <dataValidation operator="lessThanOrEqual" allowBlank="1" showInputMessage="1" showErrorMessage="1" errorTitle="Should be negative number" error="Should be whole negative number or 0" sqref="C13:C53" xr:uid="{C2A9F35E-4A9F-4546-A9F2-188DF02267F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CCAB-F452-49A0-A79B-00DE4AE76892}">
  <dimension ref="A1:D23"/>
  <sheetViews>
    <sheetView workbookViewId="0">
      <selection activeCell="C7" sqref="C7:D21"/>
    </sheetView>
  </sheetViews>
  <sheetFormatPr defaultColWidth="9.109375" defaultRowHeight="13.8" x14ac:dyDescent="0.3"/>
  <cols>
    <col min="1" max="1" width="10.88671875" style="4" bestFit="1" customWidth="1"/>
    <col min="2" max="2" width="59" style="4" customWidth="1"/>
    <col min="3" max="3" width="16.6640625" style="4" bestFit="1" customWidth="1"/>
    <col min="4" max="4" width="22.109375" style="4" customWidth="1"/>
    <col min="5" max="16384" width="9.109375" style="4"/>
  </cols>
  <sheetData>
    <row r="1" spans="1:4" x14ac:dyDescent="0.3">
      <c r="A1" s="1" t="s">
        <v>0</v>
      </c>
      <c r="B1" s="3" t="s">
        <v>199</v>
      </c>
    </row>
    <row r="2" spans="1:4" s="1" customFormat="1" ht="15.75" customHeight="1" x14ac:dyDescent="0.3">
      <c r="A2" s="1" t="s">
        <v>1</v>
      </c>
      <c r="B2" s="5">
        <f>'1. key ratios'!B2</f>
        <v>45016</v>
      </c>
    </row>
    <row r="3" spans="1:4" s="1" customFormat="1" ht="15.75" customHeight="1" x14ac:dyDescent="0.3"/>
    <row r="4" spans="1:4" ht="14.4" thickBot="1" x14ac:dyDescent="0.35">
      <c r="A4" s="4" t="s">
        <v>325</v>
      </c>
      <c r="B4" s="292" t="s">
        <v>326</v>
      </c>
    </row>
    <row r="5" spans="1:4" s="290" customFormat="1" x14ac:dyDescent="0.3">
      <c r="A5" s="293" t="s">
        <v>327</v>
      </c>
      <c r="B5" s="294"/>
      <c r="C5" s="295" t="s">
        <v>328</v>
      </c>
      <c r="D5" s="296" t="s">
        <v>329</v>
      </c>
    </row>
    <row r="6" spans="1:4" s="300" customFormat="1" x14ac:dyDescent="0.3">
      <c r="A6" s="297">
        <v>1</v>
      </c>
      <c r="B6" s="298" t="s">
        <v>330</v>
      </c>
      <c r="C6" s="298"/>
      <c r="D6" s="299"/>
    </row>
    <row r="7" spans="1:4" s="300" customFormat="1" x14ac:dyDescent="0.3">
      <c r="A7" s="301" t="s">
        <v>331</v>
      </c>
      <c r="B7" s="302" t="s">
        <v>332</v>
      </c>
      <c r="C7" s="303">
        <v>4.4999999999999998E-2</v>
      </c>
      <c r="D7" s="304">
        <f>C7*'5. RWA'!$C$13</f>
        <v>2592632.7605824345</v>
      </c>
    </row>
    <row r="8" spans="1:4" s="300" customFormat="1" x14ac:dyDescent="0.3">
      <c r="A8" s="301" t="s">
        <v>333</v>
      </c>
      <c r="B8" s="302" t="s">
        <v>334</v>
      </c>
      <c r="C8" s="303">
        <v>0.06</v>
      </c>
      <c r="D8" s="304">
        <f>C8*'5. RWA'!$C$13</f>
        <v>3456843.6807765798</v>
      </c>
    </row>
    <row r="9" spans="1:4" s="300" customFormat="1" x14ac:dyDescent="0.3">
      <c r="A9" s="301" t="s">
        <v>335</v>
      </c>
      <c r="B9" s="302" t="s">
        <v>336</v>
      </c>
      <c r="C9" s="303">
        <v>0.08</v>
      </c>
      <c r="D9" s="304">
        <f>C9*'5. RWA'!$C$13</f>
        <v>4609124.9077021061</v>
      </c>
    </row>
    <row r="10" spans="1:4" s="300" customFormat="1" x14ac:dyDescent="0.3">
      <c r="A10" s="297" t="s">
        <v>337</v>
      </c>
      <c r="B10" s="298" t="s">
        <v>338</v>
      </c>
      <c r="C10" s="305"/>
      <c r="D10" s="306"/>
    </row>
    <row r="11" spans="1:4" s="311" customFormat="1" x14ac:dyDescent="0.3">
      <c r="A11" s="307" t="s">
        <v>339</v>
      </c>
      <c r="B11" s="308" t="s">
        <v>340</v>
      </c>
      <c r="C11" s="309">
        <v>0</v>
      </c>
      <c r="D11" s="310">
        <f>C11*'5. RWA'!$C$13</f>
        <v>0</v>
      </c>
    </row>
    <row r="12" spans="1:4" s="311" customFormat="1" x14ac:dyDescent="0.3">
      <c r="A12" s="307" t="s">
        <v>341</v>
      </c>
      <c r="B12" s="308" t="s">
        <v>342</v>
      </c>
      <c r="C12" s="309">
        <v>0</v>
      </c>
      <c r="D12" s="310">
        <f>C12*'5. RWA'!$C$13</f>
        <v>0</v>
      </c>
    </row>
    <row r="13" spans="1:4" s="311" customFormat="1" x14ac:dyDescent="0.3">
      <c r="A13" s="307" t="s">
        <v>343</v>
      </c>
      <c r="B13" s="308" t="s">
        <v>344</v>
      </c>
      <c r="C13" s="309">
        <v>0</v>
      </c>
      <c r="D13" s="310">
        <f>C13*'5. RWA'!$C$13</f>
        <v>0</v>
      </c>
    </row>
    <row r="14" spans="1:4" s="300" customFormat="1" x14ac:dyDescent="0.3">
      <c r="A14" s="297" t="s">
        <v>345</v>
      </c>
      <c r="B14" s="298" t="s">
        <v>346</v>
      </c>
      <c r="C14" s="312"/>
      <c r="D14" s="306"/>
    </row>
    <row r="15" spans="1:4" s="300" customFormat="1" x14ac:dyDescent="0.3">
      <c r="A15" s="313" t="s">
        <v>347</v>
      </c>
      <c r="B15" s="308" t="s">
        <v>348</v>
      </c>
      <c r="C15" s="309">
        <v>0.13064313693377338</v>
      </c>
      <c r="D15" s="310">
        <f>C15*'5. RWA'!$C$13</f>
        <v>7526881.705772398</v>
      </c>
    </row>
    <row r="16" spans="1:4" s="300" customFormat="1" x14ac:dyDescent="0.3">
      <c r="A16" s="313" t="s">
        <v>349</v>
      </c>
      <c r="B16" s="308" t="s">
        <v>350</v>
      </c>
      <c r="C16" s="309">
        <v>0.15060743531621085</v>
      </c>
      <c r="D16" s="310">
        <f>C16*'5. RWA'!$C$13</f>
        <v>8677106.0175135154</v>
      </c>
    </row>
    <row r="17" spans="1:4" s="300" customFormat="1" x14ac:dyDescent="0.3">
      <c r="A17" s="313" t="s">
        <v>351</v>
      </c>
      <c r="B17" s="308" t="s">
        <v>352</v>
      </c>
      <c r="C17" s="309">
        <v>0.18993717687314396</v>
      </c>
      <c r="D17" s="310">
        <f>C17*'5. RWA'!$C$13</f>
        <v>10943052.160307853</v>
      </c>
    </row>
    <row r="18" spans="1:4" s="290" customFormat="1" x14ac:dyDescent="0.3">
      <c r="A18" s="314" t="s">
        <v>353</v>
      </c>
      <c r="B18" s="315"/>
      <c r="C18" s="316" t="s">
        <v>328</v>
      </c>
      <c r="D18" s="317" t="s">
        <v>329</v>
      </c>
    </row>
    <row r="19" spans="1:4" s="300" customFormat="1" x14ac:dyDescent="0.3">
      <c r="A19" s="318">
        <v>4</v>
      </c>
      <c r="B19" s="308" t="s">
        <v>9</v>
      </c>
      <c r="C19" s="309">
        <f>C7+C11+C12+C13+C15</f>
        <v>0.17564313693377337</v>
      </c>
      <c r="D19" s="304">
        <f>C19*'5. RWA'!$C$13</f>
        <v>10119514.466354832</v>
      </c>
    </row>
    <row r="20" spans="1:4" s="300" customFormat="1" x14ac:dyDescent="0.3">
      <c r="A20" s="318">
        <v>5</v>
      </c>
      <c r="B20" s="308" t="s">
        <v>10</v>
      </c>
      <c r="C20" s="309">
        <f>C8+C11+C12+C13+C16</f>
        <v>0.21060743531621084</v>
      </c>
      <c r="D20" s="304">
        <f>C20*'5. RWA'!$C$13</f>
        <v>12133949.698290095</v>
      </c>
    </row>
    <row r="21" spans="1:4" s="300" customFormat="1" ht="14.4" thickBot="1" x14ac:dyDescent="0.35">
      <c r="A21" s="319" t="s">
        <v>354</v>
      </c>
      <c r="B21" s="320" t="s">
        <v>11</v>
      </c>
      <c r="C21" s="321">
        <f>C9+C11+C12+C13+C17</f>
        <v>0.26993717687314395</v>
      </c>
      <c r="D21" s="322">
        <f>C21*'5. RWA'!$C$13</f>
        <v>15552177.06800996</v>
      </c>
    </row>
    <row r="23" spans="1:4" ht="69" x14ac:dyDescent="0.3">
      <c r="B23" s="79" t="s">
        <v>355</v>
      </c>
    </row>
  </sheetData>
  <mergeCells count="2">
    <mergeCell ref="A5:B5"/>
    <mergeCell ref="A18:B18"/>
  </mergeCells>
  <conditionalFormatting sqref="C21">
    <cfRule type="cellIs" dxfId="30"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193A-0B42-4821-A5AE-D6E63D0B9480}">
  <dimension ref="A1:E69"/>
  <sheetViews>
    <sheetView zoomScaleNormal="100" workbookViewId="0">
      <pane xSplit="1" ySplit="5" topLeftCell="B50" activePane="bottomRight" state="frozen"/>
      <selection activeCell="D1" sqref="D1:D3"/>
      <selection pane="topRight" activeCell="D1" sqref="D1:D3"/>
      <selection pane="bottomLeft" activeCell="D1" sqref="D1:D3"/>
      <selection pane="bottomRight" activeCell="C6" sqref="C6:D68"/>
    </sheetView>
  </sheetViews>
  <sheetFormatPr defaultRowHeight="14.4" x14ac:dyDescent="0.3"/>
  <cols>
    <col min="1" max="1" width="10.6640625" style="323" customWidth="1"/>
    <col min="2" max="2" width="91.88671875" style="323" customWidth="1"/>
    <col min="3" max="3" width="53.109375" style="323" customWidth="1"/>
    <col min="4" max="4" width="32.33203125" style="323" customWidth="1"/>
    <col min="5" max="5" width="9.44140625" customWidth="1"/>
  </cols>
  <sheetData>
    <row r="1" spans="1:5" x14ac:dyDescent="0.3">
      <c r="A1" s="1" t="s">
        <v>0</v>
      </c>
      <c r="B1" s="78" t="s">
        <v>199</v>
      </c>
      <c r="E1" s="4"/>
    </row>
    <row r="2" spans="1:5" s="1" customFormat="1" ht="15.75" customHeight="1" x14ac:dyDescent="0.3">
      <c r="A2" s="1" t="s">
        <v>1</v>
      </c>
      <c r="B2" s="5">
        <f>'1. key ratios'!B2</f>
        <v>45016</v>
      </c>
    </row>
    <row r="3" spans="1:5" s="1" customFormat="1" ht="15.75" customHeight="1" x14ac:dyDescent="0.3">
      <c r="A3" s="324"/>
    </row>
    <row r="4" spans="1:5" s="1" customFormat="1" ht="15.75" customHeight="1" thickBot="1" x14ac:dyDescent="0.35">
      <c r="A4" s="1" t="s">
        <v>356</v>
      </c>
      <c r="B4" s="325" t="s">
        <v>357</v>
      </c>
      <c r="D4" s="326" t="s">
        <v>292</v>
      </c>
    </row>
    <row r="5" spans="1:5" ht="27.6" x14ac:dyDescent="0.3">
      <c r="A5" s="327" t="s">
        <v>6</v>
      </c>
      <c r="B5" s="328" t="s">
        <v>307</v>
      </c>
      <c r="C5" s="329" t="s">
        <v>358</v>
      </c>
      <c r="D5" s="330" t="s">
        <v>359</v>
      </c>
    </row>
    <row r="6" spans="1:5" x14ac:dyDescent="0.3">
      <c r="A6" s="94">
        <v>1</v>
      </c>
      <c r="B6" s="95" t="s">
        <v>56</v>
      </c>
      <c r="C6" s="331">
        <f>SUM(C7:C9)</f>
        <v>12538899.140000004</v>
      </c>
      <c r="D6" s="332"/>
      <c r="E6" s="333"/>
    </row>
    <row r="7" spans="1:5" x14ac:dyDescent="0.3">
      <c r="A7" s="94">
        <v>1.1000000000000001</v>
      </c>
      <c r="B7" s="98" t="s">
        <v>57</v>
      </c>
      <c r="C7" s="334">
        <f>'7. LI1'!E9</f>
        <v>2571824.58</v>
      </c>
      <c r="D7" s="335"/>
      <c r="E7" s="333"/>
    </row>
    <row r="8" spans="1:5" x14ac:dyDescent="0.3">
      <c r="A8" s="94">
        <v>1.2</v>
      </c>
      <c r="B8" s="98" t="s">
        <v>58</v>
      </c>
      <c r="C8" s="334">
        <f>'7. LI1'!E10</f>
        <v>3491623.1900000027</v>
      </c>
      <c r="D8" s="335"/>
      <c r="E8" s="333"/>
    </row>
    <row r="9" spans="1:5" x14ac:dyDescent="0.3">
      <c r="A9" s="94">
        <v>1.3</v>
      </c>
      <c r="B9" s="98" t="s">
        <v>59</v>
      </c>
      <c r="C9" s="334">
        <f>'7. LI1'!E11</f>
        <v>6475451.370000002</v>
      </c>
      <c r="D9" s="335"/>
      <c r="E9" s="333"/>
    </row>
    <row r="10" spans="1:5" x14ac:dyDescent="0.3">
      <c r="A10" s="94">
        <v>2</v>
      </c>
      <c r="B10" s="99" t="s">
        <v>60</v>
      </c>
      <c r="C10" s="334">
        <f>'7. LI1'!E12</f>
        <v>97346.140285255504</v>
      </c>
      <c r="D10" s="335"/>
      <c r="E10" s="333"/>
    </row>
    <row r="11" spans="1:5" x14ac:dyDescent="0.3">
      <c r="A11" s="94">
        <v>2.1</v>
      </c>
      <c r="B11" s="100" t="s">
        <v>61</v>
      </c>
      <c r="C11" s="334">
        <f>'7. LI1'!E13</f>
        <v>97346.140285255504</v>
      </c>
      <c r="D11" s="336"/>
      <c r="E11" s="337"/>
    </row>
    <row r="12" spans="1:5" ht="23.4" customHeight="1" x14ac:dyDescent="0.3">
      <c r="A12" s="94">
        <v>3</v>
      </c>
      <c r="B12" s="101" t="s">
        <v>62</v>
      </c>
      <c r="C12" s="334">
        <f>'7. LI1'!E14</f>
        <v>0</v>
      </c>
      <c r="D12" s="336"/>
      <c r="E12" s="337"/>
    </row>
    <row r="13" spans="1:5" ht="23.1" customHeight="1" x14ac:dyDescent="0.3">
      <c r="A13" s="94">
        <v>4</v>
      </c>
      <c r="B13" s="102" t="s">
        <v>63</v>
      </c>
      <c r="C13" s="334">
        <f>'7. LI1'!E15</f>
        <v>0</v>
      </c>
      <c r="D13" s="336"/>
      <c r="E13" s="337"/>
    </row>
    <row r="14" spans="1:5" x14ac:dyDescent="0.3">
      <c r="A14" s="94">
        <v>5</v>
      </c>
      <c r="B14" s="102" t="s">
        <v>64</v>
      </c>
      <c r="C14" s="338">
        <f>SUM(C15:C17)</f>
        <v>20000</v>
      </c>
      <c r="D14" s="336"/>
      <c r="E14" s="337"/>
    </row>
    <row r="15" spans="1:5" x14ac:dyDescent="0.3">
      <c r="A15" s="94">
        <v>5.0999999999999996</v>
      </c>
      <c r="B15" s="105" t="s">
        <v>65</v>
      </c>
      <c r="C15" s="334">
        <f>'7. LI1'!E17</f>
        <v>20000</v>
      </c>
      <c r="D15" s="336"/>
      <c r="E15" s="333"/>
    </row>
    <row r="16" spans="1:5" x14ac:dyDescent="0.3">
      <c r="A16" s="94">
        <v>5.2</v>
      </c>
      <c r="B16" s="105" t="s">
        <v>66</v>
      </c>
      <c r="C16" s="334">
        <f>'7. LI1'!E18</f>
        <v>0</v>
      </c>
      <c r="D16" s="335"/>
      <c r="E16" s="333"/>
    </row>
    <row r="17" spans="1:5" x14ac:dyDescent="0.3">
      <c r="A17" s="94">
        <v>5.3</v>
      </c>
      <c r="B17" s="105" t="s">
        <v>67</v>
      </c>
      <c r="C17" s="334">
        <f>'7. LI1'!E19</f>
        <v>0</v>
      </c>
      <c r="D17" s="335"/>
      <c r="E17" s="333"/>
    </row>
    <row r="18" spans="1:5" x14ac:dyDescent="0.3">
      <c r="A18" s="94">
        <v>6</v>
      </c>
      <c r="B18" s="101" t="s">
        <v>68</v>
      </c>
      <c r="C18" s="339">
        <f>SUM(C19:C20)</f>
        <v>42383627.237445354</v>
      </c>
      <c r="D18" s="335"/>
      <c r="E18" s="333"/>
    </row>
    <row r="19" spans="1:5" x14ac:dyDescent="0.3">
      <c r="A19" s="94">
        <v>6.1</v>
      </c>
      <c r="B19" s="105" t="s">
        <v>66</v>
      </c>
      <c r="C19" s="340">
        <f>'7. LI1'!C21</f>
        <v>24839873.318004835</v>
      </c>
      <c r="D19" s="335"/>
      <c r="E19" s="333"/>
    </row>
    <row r="20" spans="1:5" x14ac:dyDescent="0.3">
      <c r="A20" s="94">
        <v>6.2</v>
      </c>
      <c r="B20" s="105" t="s">
        <v>67</v>
      </c>
      <c r="C20" s="340">
        <f>'7. LI1'!C22</f>
        <v>17543753.919440515</v>
      </c>
      <c r="D20" s="335"/>
      <c r="E20" s="333"/>
    </row>
    <row r="21" spans="1:5" x14ac:dyDescent="0.3">
      <c r="A21" s="94">
        <v>7</v>
      </c>
      <c r="B21" s="106" t="s">
        <v>69</v>
      </c>
      <c r="C21" s="338"/>
      <c r="D21" s="335"/>
      <c r="E21" s="333"/>
    </row>
    <row r="22" spans="1:5" x14ac:dyDescent="0.3">
      <c r="A22" s="94">
        <v>8</v>
      </c>
      <c r="B22" s="107" t="s">
        <v>70</v>
      </c>
      <c r="C22" s="339">
        <f>'7. LI1'!E24</f>
        <v>3389411.9415073614</v>
      </c>
      <c r="D22" s="335"/>
      <c r="E22" s="333"/>
    </row>
    <row r="23" spans="1:5" x14ac:dyDescent="0.3">
      <c r="A23" s="94">
        <v>9</v>
      </c>
      <c r="B23" s="102" t="s">
        <v>71</v>
      </c>
      <c r="C23" s="339">
        <f>SUM(C24:C25)</f>
        <v>19175030.120000005</v>
      </c>
      <c r="D23" s="341"/>
      <c r="E23" s="333"/>
    </row>
    <row r="24" spans="1:5" x14ac:dyDescent="0.3">
      <c r="A24" s="94">
        <v>9.1</v>
      </c>
      <c r="B24" s="108" t="s">
        <v>72</v>
      </c>
      <c r="C24" s="342">
        <f>'7. LI1'!E26</f>
        <v>19175030.120000005</v>
      </c>
      <c r="D24" s="343"/>
      <c r="E24" s="333"/>
    </row>
    <row r="25" spans="1:5" x14ac:dyDescent="0.3">
      <c r="A25" s="94">
        <v>9.1999999999999993</v>
      </c>
      <c r="B25" s="108" t="s">
        <v>73</v>
      </c>
      <c r="C25" s="342">
        <f>'7. LI1'!E27</f>
        <v>0</v>
      </c>
      <c r="D25" s="344"/>
      <c r="E25" s="345"/>
    </row>
    <row r="26" spans="1:5" x14ac:dyDescent="0.3">
      <c r="A26" s="94">
        <v>10</v>
      </c>
      <c r="B26" s="102" t="s">
        <v>74</v>
      </c>
      <c r="C26" s="346">
        <f>SUM(C27:C28)</f>
        <v>776498.50000000023</v>
      </c>
      <c r="D26" s="347" t="s">
        <v>360</v>
      </c>
      <c r="E26" s="333"/>
    </row>
    <row r="27" spans="1:5" x14ac:dyDescent="0.3">
      <c r="A27" s="94">
        <v>10.1</v>
      </c>
      <c r="B27" s="108" t="s">
        <v>75</v>
      </c>
      <c r="C27" s="334">
        <f>'7. LI1'!C29</f>
        <v>0</v>
      </c>
      <c r="D27" s="335"/>
      <c r="E27" s="333"/>
    </row>
    <row r="28" spans="1:5" x14ac:dyDescent="0.3">
      <c r="A28" s="94">
        <v>10.199999999999999</v>
      </c>
      <c r="B28" s="108" t="s">
        <v>76</v>
      </c>
      <c r="C28" s="334">
        <f>'7. LI1'!C30</f>
        <v>776498.50000000023</v>
      </c>
      <c r="D28" s="335"/>
      <c r="E28" s="333"/>
    </row>
    <row r="29" spans="1:5" x14ac:dyDescent="0.3">
      <c r="A29" s="94">
        <v>11</v>
      </c>
      <c r="B29" s="102" t="s">
        <v>77</v>
      </c>
      <c r="C29" s="339">
        <f>SUM(C30:C31)</f>
        <v>45248.5</v>
      </c>
      <c r="D29" s="335"/>
      <c r="E29" s="333"/>
    </row>
    <row r="30" spans="1:5" x14ac:dyDescent="0.3">
      <c r="A30" s="94">
        <v>11.1</v>
      </c>
      <c r="B30" s="108" t="s">
        <v>78</v>
      </c>
      <c r="C30" s="334">
        <f>'7. LI1'!C32</f>
        <v>45248.5</v>
      </c>
      <c r="D30" s="335"/>
      <c r="E30" s="333"/>
    </row>
    <row r="31" spans="1:5" x14ac:dyDescent="0.3">
      <c r="A31" s="94">
        <v>11.2</v>
      </c>
      <c r="B31" s="108" t="s">
        <v>79</v>
      </c>
      <c r="C31" s="334">
        <f>'7. LI1'!C33</f>
        <v>0</v>
      </c>
      <c r="D31" s="335"/>
      <c r="E31" s="333"/>
    </row>
    <row r="32" spans="1:5" x14ac:dyDescent="0.3">
      <c r="A32" s="94">
        <v>13</v>
      </c>
      <c r="B32" s="102" t="s">
        <v>80</v>
      </c>
      <c r="C32" s="334">
        <f>'7. LI1'!C34</f>
        <v>1069351.5</v>
      </c>
      <c r="D32" s="335"/>
      <c r="E32" s="333"/>
    </row>
    <row r="33" spans="1:5" x14ac:dyDescent="0.3">
      <c r="A33" s="94">
        <v>13.1</v>
      </c>
      <c r="B33" s="109" t="s">
        <v>81</v>
      </c>
      <c r="C33" s="334">
        <f>'7. LI1'!C35</f>
        <v>0</v>
      </c>
      <c r="D33" s="335"/>
      <c r="E33" s="333"/>
    </row>
    <row r="34" spans="1:5" x14ac:dyDescent="0.3">
      <c r="A34" s="94">
        <v>13.2</v>
      </c>
      <c r="B34" s="109" t="s">
        <v>82</v>
      </c>
      <c r="C34" s="334">
        <f>'7. LI1'!C36</f>
        <v>0</v>
      </c>
      <c r="D34" s="343"/>
      <c r="E34" s="333"/>
    </row>
    <row r="35" spans="1:5" x14ac:dyDescent="0.3">
      <c r="A35" s="94">
        <v>14</v>
      </c>
      <c r="B35" s="110" t="s">
        <v>83</v>
      </c>
      <c r="C35" s="348">
        <f>SUM(C6,C10,C12,C13,C14,C18,C21,C22,C23,C26,C29,C32)</f>
        <v>79495413.079237983</v>
      </c>
      <c r="D35" s="343"/>
      <c r="E35" s="333"/>
    </row>
    <row r="36" spans="1:5" x14ac:dyDescent="0.3">
      <c r="A36" s="94"/>
      <c r="B36" s="112" t="s">
        <v>84</v>
      </c>
      <c r="C36" s="349"/>
      <c r="D36" s="350"/>
      <c r="E36" s="333"/>
    </row>
    <row r="37" spans="1:5" x14ac:dyDescent="0.3">
      <c r="A37" s="94">
        <v>15</v>
      </c>
      <c r="B37" s="116" t="s">
        <v>85</v>
      </c>
      <c r="C37" s="351">
        <f>'2. SOFP'!E38</f>
        <v>10363.20850399998</v>
      </c>
      <c r="D37" s="344"/>
      <c r="E37" s="345"/>
    </row>
    <row r="38" spans="1:5" x14ac:dyDescent="0.3">
      <c r="A38" s="94">
        <v>15.1</v>
      </c>
      <c r="B38" s="100" t="s">
        <v>61</v>
      </c>
      <c r="C38" s="351">
        <f>'2. SOFP'!E39</f>
        <v>10363.20850399998</v>
      </c>
      <c r="D38" s="335"/>
      <c r="E38" s="333"/>
    </row>
    <row r="39" spans="1:5" ht="20.399999999999999" x14ac:dyDescent="0.3">
      <c r="A39" s="94">
        <v>16</v>
      </c>
      <c r="B39" s="106" t="s">
        <v>86</v>
      </c>
      <c r="C39" s="351">
        <f>'2. SOFP'!E40</f>
        <v>0</v>
      </c>
      <c r="D39" s="335"/>
      <c r="E39" s="333"/>
    </row>
    <row r="40" spans="1:5" x14ac:dyDescent="0.3">
      <c r="A40" s="94">
        <v>17</v>
      </c>
      <c r="B40" s="106" t="s">
        <v>87</v>
      </c>
      <c r="C40" s="339">
        <f>SUM(C41:C44)</f>
        <v>18038814.503457695</v>
      </c>
      <c r="D40" s="335"/>
      <c r="E40" s="333"/>
    </row>
    <row r="41" spans="1:5" x14ac:dyDescent="0.3">
      <c r="A41" s="94">
        <v>17.100000000000001</v>
      </c>
      <c r="B41" s="117" t="s">
        <v>88</v>
      </c>
      <c r="C41" s="334">
        <f>'2. SOFP'!E42</f>
        <v>15768408.113457698</v>
      </c>
      <c r="D41" s="335"/>
      <c r="E41" s="333"/>
    </row>
    <row r="42" spans="1:5" x14ac:dyDescent="0.3">
      <c r="A42" s="352">
        <v>17.2</v>
      </c>
      <c r="B42" s="353" t="s">
        <v>89</v>
      </c>
      <c r="C42" s="334">
        <f>'2. SOFP'!E43</f>
        <v>2009147.9</v>
      </c>
      <c r="D42" s="343"/>
      <c r="E42" s="333"/>
    </row>
    <row r="43" spans="1:5" x14ac:dyDescent="0.3">
      <c r="A43" s="94">
        <v>17.3</v>
      </c>
      <c r="B43" s="354" t="s">
        <v>90</v>
      </c>
      <c r="C43" s="334">
        <f>'2. SOFP'!E44</f>
        <v>0</v>
      </c>
      <c r="D43" s="355"/>
      <c r="E43" s="333"/>
    </row>
    <row r="44" spans="1:5" x14ac:dyDescent="0.3">
      <c r="A44" s="94">
        <v>17.399999999999999</v>
      </c>
      <c r="B44" s="354" t="s">
        <v>91</v>
      </c>
      <c r="C44" s="334">
        <f>'2. SOFP'!E45</f>
        <v>261258.49000000002</v>
      </c>
      <c r="D44" s="355"/>
      <c r="E44" s="333"/>
    </row>
    <row r="45" spans="1:5" x14ac:dyDescent="0.3">
      <c r="A45" s="94">
        <v>18</v>
      </c>
      <c r="B45" s="122" t="s">
        <v>92</v>
      </c>
      <c r="C45" s="334">
        <f>'2. SOFP'!E46</f>
        <v>54600.225375354115</v>
      </c>
      <c r="D45" s="355"/>
      <c r="E45" s="345"/>
    </row>
    <row r="46" spans="1:5" x14ac:dyDescent="0.3">
      <c r="A46" s="94">
        <v>19</v>
      </c>
      <c r="B46" s="122" t="s">
        <v>93</v>
      </c>
      <c r="C46" s="356">
        <f>SUM(C47:C48)</f>
        <v>1752441.5988421449</v>
      </c>
      <c r="D46" s="357"/>
    </row>
    <row r="47" spans="1:5" x14ac:dyDescent="0.3">
      <c r="A47" s="94">
        <v>19.100000000000001</v>
      </c>
      <c r="B47" s="358" t="s">
        <v>94</v>
      </c>
      <c r="C47" s="359">
        <f>'2. SOFP'!E48</f>
        <v>0</v>
      </c>
      <c r="D47" s="357"/>
    </row>
    <row r="48" spans="1:5" x14ac:dyDescent="0.3">
      <c r="A48" s="94">
        <v>19.2</v>
      </c>
      <c r="B48" s="358" t="s">
        <v>95</v>
      </c>
      <c r="C48" s="359">
        <f>'2. SOFP'!E49</f>
        <v>1752441.5988421449</v>
      </c>
      <c r="D48" s="357"/>
    </row>
    <row r="49" spans="1:4" x14ac:dyDescent="0.3">
      <c r="A49" s="94">
        <v>20</v>
      </c>
      <c r="B49" s="110" t="s">
        <v>96</v>
      </c>
      <c r="C49" s="359">
        <f>'2. SOFP'!E50</f>
        <v>2984880.43</v>
      </c>
      <c r="D49" s="347" t="s">
        <v>361</v>
      </c>
    </row>
    <row r="50" spans="1:4" x14ac:dyDescent="0.3">
      <c r="A50" s="94">
        <v>21</v>
      </c>
      <c r="B50" s="99" t="s">
        <v>97</v>
      </c>
      <c r="C50" s="359">
        <f>'2. SOFP'!E51</f>
        <v>824098.0299999998</v>
      </c>
      <c r="D50" s="357"/>
    </row>
    <row r="51" spans="1:4" x14ac:dyDescent="0.3">
      <c r="A51" s="94">
        <v>21.1</v>
      </c>
      <c r="B51" s="98" t="s">
        <v>98</v>
      </c>
      <c r="C51" s="359">
        <f>'2. SOFP'!E52</f>
        <v>0</v>
      </c>
      <c r="D51" s="357"/>
    </row>
    <row r="52" spans="1:4" x14ac:dyDescent="0.3">
      <c r="A52" s="94">
        <v>22</v>
      </c>
      <c r="B52" s="110" t="s">
        <v>99</v>
      </c>
      <c r="C52" s="356">
        <f>SUM(C37,C39,C40,C45,C46,C49,C50)</f>
        <v>23665197.996179193</v>
      </c>
      <c r="D52" s="357"/>
    </row>
    <row r="53" spans="1:4" x14ac:dyDescent="0.3">
      <c r="A53" s="94"/>
      <c r="B53" s="112" t="s">
        <v>100</v>
      </c>
      <c r="C53" s="357"/>
      <c r="D53" s="357"/>
    </row>
    <row r="54" spans="1:4" x14ac:dyDescent="0.3">
      <c r="A54" s="94">
        <v>23</v>
      </c>
      <c r="B54" s="110" t="s">
        <v>101</v>
      </c>
      <c r="C54" s="360">
        <f>'2. SOFP'!E55</f>
        <v>62946400</v>
      </c>
      <c r="D54" s="357"/>
    </row>
    <row r="55" spans="1:4" x14ac:dyDescent="0.3">
      <c r="A55" s="94">
        <v>24</v>
      </c>
      <c r="B55" s="110" t="s">
        <v>102</v>
      </c>
      <c r="C55" s="360">
        <f>'2. SOFP'!E56</f>
        <v>0</v>
      </c>
      <c r="D55" s="357"/>
    </row>
    <row r="56" spans="1:4" x14ac:dyDescent="0.3">
      <c r="A56" s="94">
        <v>25</v>
      </c>
      <c r="B56" s="110" t="s">
        <v>103</v>
      </c>
      <c r="C56" s="360">
        <f>'2. SOFP'!E57</f>
        <v>0</v>
      </c>
      <c r="D56" s="357"/>
    </row>
    <row r="57" spans="1:4" x14ac:dyDescent="0.3">
      <c r="A57" s="94">
        <v>26</v>
      </c>
      <c r="B57" s="122" t="s">
        <v>104</v>
      </c>
      <c r="C57" s="360">
        <f>'2. SOFP'!E58</f>
        <v>0</v>
      </c>
      <c r="D57" s="357"/>
    </row>
    <row r="58" spans="1:4" x14ac:dyDescent="0.3">
      <c r="A58" s="94">
        <v>27</v>
      </c>
      <c r="B58" s="122" t="s">
        <v>105</v>
      </c>
      <c r="C58" s="360">
        <f>SUM(C59:C60)</f>
        <v>0</v>
      </c>
      <c r="D58" s="357"/>
    </row>
    <row r="59" spans="1:4" x14ac:dyDescent="0.3">
      <c r="A59" s="94">
        <v>27.1</v>
      </c>
      <c r="B59" s="358" t="s">
        <v>106</v>
      </c>
      <c r="C59" s="361">
        <f>'2. SOFP'!E60</f>
        <v>0</v>
      </c>
      <c r="D59" s="357"/>
    </row>
    <row r="60" spans="1:4" x14ac:dyDescent="0.3">
      <c r="A60" s="94">
        <v>27.2</v>
      </c>
      <c r="B60" s="354" t="s">
        <v>107</v>
      </c>
      <c r="C60" s="361">
        <f>'2. SOFP'!E61</f>
        <v>0</v>
      </c>
      <c r="D60" s="357"/>
    </row>
    <row r="61" spans="1:4" x14ac:dyDescent="0.3">
      <c r="A61" s="94">
        <v>28</v>
      </c>
      <c r="B61" s="99" t="s">
        <v>108</v>
      </c>
      <c r="C61" s="361">
        <f>'2. SOFP'!E62</f>
        <v>0</v>
      </c>
      <c r="D61" s="357"/>
    </row>
    <row r="62" spans="1:4" x14ac:dyDescent="0.3">
      <c r="A62" s="94">
        <v>29</v>
      </c>
      <c r="B62" s="122" t="s">
        <v>109</v>
      </c>
      <c r="C62" s="360">
        <f>SUM(C63:C65)</f>
        <v>4352500.4589957595</v>
      </c>
      <c r="D62" s="357"/>
    </row>
    <row r="63" spans="1:4" x14ac:dyDescent="0.3">
      <c r="A63" s="94">
        <v>29.1</v>
      </c>
      <c r="B63" s="362" t="s">
        <v>110</v>
      </c>
      <c r="C63" s="361">
        <f>'2. SOFP'!E64</f>
        <v>4352500.4589957595</v>
      </c>
      <c r="D63" s="357"/>
    </row>
    <row r="64" spans="1:4" ht="24" customHeight="1" x14ac:dyDescent="0.3">
      <c r="A64" s="94">
        <v>29.2</v>
      </c>
      <c r="B64" s="358" t="s">
        <v>111</v>
      </c>
      <c r="C64" s="361">
        <f>'2. SOFP'!E65</f>
        <v>0</v>
      </c>
      <c r="D64" s="357"/>
    </row>
    <row r="65" spans="1:4" ht="21.9" customHeight="1" x14ac:dyDescent="0.3">
      <c r="A65" s="94">
        <v>29.3</v>
      </c>
      <c r="B65" s="363" t="s">
        <v>112</v>
      </c>
      <c r="C65" s="361">
        <f>'2. SOFP'!E66</f>
        <v>0</v>
      </c>
      <c r="D65" s="357"/>
    </row>
    <row r="66" spans="1:4" x14ac:dyDescent="0.3">
      <c r="A66" s="94">
        <v>30</v>
      </c>
      <c r="B66" s="122" t="s">
        <v>113</v>
      </c>
      <c r="C66" s="361">
        <f>'2. SOFP'!E67</f>
        <v>-11468685.621432994</v>
      </c>
      <c r="D66" s="357"/>
    </row>
    <row r="67" spans="1:4" x14ac:dyDescent="0.3">
      <c r="A67" s="94">
        <v>31</v>
      </c>
      <c r="B67" s="121" t="s">
        <v>114</v>
      </c>
      <c r="C67" s="360">
        <f>SUM(C54,C55,C56,C57,C58,C61,C62,C66)</f>
        <v>55830214.83756277</v>
      </c>
      <c r="D67" s="357"/>
    </row>
    <row r="68" spans="1:4" x14ac:dyDescent="0.3">
      <c r="A68" s="94">
        <v>32</v>
      </c>
      <c r="B68" s="122" t="s">
        <v>115</v>
      </c>
      <c r="C68" s="360">
        <f>SUM(C52,C67)</f>
        <v>79495412.833741963</v>
      </c>
      <c r="D68" s="357"/>
    </row>
    <row r="69" spans="1:4" x14ac:dyDescent="0.3">
      <c r="C69" s="364"/>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A949-DE0C-41FE-8C00-7738176A3FA2}">
  <dimension ref="A1:S27"/>
  <sheetViews>
    <sheetView zoomScaleNormal="100" workbookViewId="0">
      <pane xSplit="2" ySplit="7" topLeftCell="O8" activePane="bottomRight" state="frozen"/>
      <selection activeCell="D1" sqref="D1:D3"/>
      <selection pane="topRight" activeCell="D1" sqref="D1:D3"/>
      <selection pane="bottomLeft" activeCell="D1" sqref="D1:D3"/>
      <selection pane="bottomRight" activeCell="C8" sqref="C8:R21"/>
    </sheetView>
  </sheetViews>
  <sheetFormatPr defaultColWidth="9.109375" defaultRowHeight="13.8" x14ac:dyDescent="0.3"/>
  <cols>
    <col min="1" max="1" width="10.5546875" style="4" bestFit="1" customWidth="1"/>
    <col min="2" max="2" width="95" style="4" customWidth="1"/>
    <col min="3" max="3" width="13.88671875" style="4" customWidth="1"/>
    <col min="4" max="4" width="13.33203125" style="4" bestFit="1" customWidth="1"/>
    <col min="5" max="5" width="14" style="4" customWidth="1"/>
    <col min="6" max="6" width="13.33203125" style="4" bestFit="1" customWidth="1"/>
    <col min="7" max="7" width="12.6640625" style="4" customWidth="1"/>
    <col min="8" max="8" width="13.33203125" style="4" bestFit="1" customWidth="1"/>
    <col min="9" max="9" width="12.44140625" style="4" customWidth="1"/>
    <col min="10" max="10" width="13.33203125" style="4" bestFit="1" customWidth="1"/>
    <col min="11" max="11" width="11.5546875" style="4" customWidth="1"/>
    <col min="12" max="12" width="13.33203125" style="4" bestFit="1" customWidth="1"/>
    <col min="13" max="13" width="13.44140625" style="4" customWidth="1"/>
    <col min="14" max="14" width="13.33203125" style="4" bestFit="1" customWidth="1"/>
    <col min="15" max="15" width="14" style="4" customWidth="1"/>
    <col min="16" max="16" width="13.33203125" style="4" bestFit="1" customWidth="1"/>
    <col min="17" max="17" width="13" style="4" customWidth="1"/>
    <col min="18" max="18" width="14" style="4" customWidth="1"/>
    <col min="19" max="19" width="31.5546875" style="4" bestFit="1" customWidth="1"/>
    <col min="20" max="16384" width="9.109375" style="224"/>
  </cols>
  <sheetData>
    <row r="1" spans="1:19" x14ac:dyDescent="0.3">
      <c r="A1" s="4" t="s">
        <v>0</v>
      </c>
      <c r="B1" s="4" t="s">
        <v>199</v>
      </c>
    </row>
    <row r="2" spans="1:19" x14ac:dyDescent="0.3">
      <c r="A2" s="4" t="s">
        <v>1</v>
      </c>
      <c r="B2" s="5">
        <f>'1. key ratios'!B2</f>
        <v>45016</v>
      </c>
    </row>
    <row r="4" spans="1:19" ht="28.2" thickBot="1" x14ac:dyDescent="0.35">
      <c r="A4" s="290" t="s">
        <v>362</v>
      </c>
      <c r="B4" s="365" t="s">
        <v>363</v>
      </c>
    </row>
    <row r="5" spans="1:19" x14ac:dyDescent="0.3">
      <c r="A5" s="366"/>
      <c r="B5" s="367"/>
      <c r="C5" s="368" t="s">
        <v>304</v>
      </c>
      <c r="D5" s="368" t="s">
        <v>305</v>
      </c>
      <c r="E5" s="368" t="s">
        <v>306</v>
      </c>
      <c r="F5" s="368" t="s">
        <v>364</v>
      </c>
      <c r="G5" s="368" t="s">
        <v>365</v>
      </c>
      <c r="H5" s="368" t="s">
        <v>366</v>
      </c>
      <c r="I5" s="368" t="s">
        <v>367</v>
      </c>
      <c r="J5" s="368" t="s">
        <v>368</v>
      </c>
      <c r="K5" s="368" t="s">
        <v>369</v>
      </c>
      <c r="L5" s="368" t="s">
        <v>370</v>
      </c>
      <c r="M5" s="368" t="s">
        <v>371</v>
      </c>
      <c r="N5" s="368" t="s">
        <v>372</v>
      </c>
      <c r="O5" s="368" t="s">
        <v>373</v>
      </c>
      <c r="P5" s="368" t="s">
        <v>374</v>
      </c>
      <c r="Q5" s="368" t="s">
        <v>375</v>
      </c>
      <c r="R5" s="369" t="s">
        <v>376</v>
      </c>
      <c r="S5" s="370" t="s">
        <v>377</v>
      </c>
    </row>
    <row r="6" spans="1:19" ht="46.5" customHeight="1" x14ac:dyDescent="0.3">
      <c r="A6" s="371"/>
      <c r="B6" s="372" t="s">
        <v>378</v>
      </c>
      <c r="C6" s="373">
        <v>0</v>
      </c>
      <c r="D6" s="374"/>
      <c r="E6" s="373">
        <v>0.2</v>
      </c>
      <c r="F6" s="374"/>
      <c r="G6" s="373">
        <v>0.35</v>
      </c>
      <c r="H6" s="374"/>
      <c r="I6" s="373">
        <v>0.5</v>
      </c>
      <c r="J6" s="374"/>
      <c r="K6" s="373">
        <v>0.75</v>
      </c>
      <c r="L6" s="374"/>
      <c r="M6" s="373">
        <v>1</v>
      </c>
      <c r="N6" s="374"/>
      <c r="O6" s="373">
        <v>1.5</v>
      </c>
      <c r="P6" s="374"/>
      <c r="Q6" s="373">
        <v>2.5</v>
      </c>
      <c r="R6" s="374"/>
      <c r="S6" s="375" t="s">
        <v>379</v>
      </c>
    </row>
    <row r="7" spans="1:19" x14ac:dyDescent="0.3">
      <c r="A7" s="371"/>
      <c r="B7" s="376"/>
      <c r="C7" s="377" t="s">
        <v>380</v>
      </c>
      <c r="D7" s="377" t="s">
        <v>381</v>
      </c>
      <c r="E7" s="377" t="s">
        <v>380</v>
      </c>
      <c r="F7" s="377" t="s">
        <v>381</v>
      </c>
      <c r="G7" s="377" t="s">
        <v>380</v>
      </c>
      <c r="H7" s="377" t="s">
        <v>381</v>
      </c>
      <c r="I7" s="377" t="s">
        <v>380</v>
      </c>
      <c r="J7" s="377" t="s">
        <v>381</v>
      </c>
      <c r="K7" s="377" t="s">
        <v>380</v>
      </c>
      <c r="L7" s="377" t="s">
        <v>381</v>
      </c>
      <c r="M7" s="377" t="s">
        <v>380</v>
      </c>
      <c r="N7" s="377" t="s">
        <v>381</v>
      </c>
      <c r="O7" s="377" t="s">
        <v>380</v>
      </c>
      <c r="P7" s="377" t="s">
        <v>381</v>
      </c>
      <c r="Q7" s="377" t="s">
        <v>380</v>
      </c>
      <c r="R7" s="377" t="s">
        <v>381</v>
      </c>
      <c r="S7" s="378"/>
    </row>
    <row r="8" spans="1:19" x14ac:dyDescent="0.3">
      <c r="A8" s="379">
        <v>1</v>
      </c>
      <c r="B8" s="380" t="s">
        <v>382</v>
      </c>
      <c r="C8" s="381">
        <v>25399513.628004838</v>
      </c>
      <c r="D8" s="381"/>
      <c r="E8" s="381">
        <v>0</v>
      </c>
      <c r="F8" s="382"/>
      <c r="G8" s="381">
        <v>0</v>
      </c>
      <c r="H8" s="381"/>
      <c r="I8" s="381">
        <v>0</v>
      </c>
      <c r="J8" s="381"/>
      <c r="K8" s="381">
        <v>0</v>
      </c>
      <c r="L8" s="381"/>
      <c r="M8" s="381">
        <v>2931982.8800000004</v>
      </c>
      <c r="N8" s="381"/>
      <c r="O8" s="381">
        <v>0</v>
      </c>
      <c r="P8" s="381"/>
      <c r="Q8" s="381">
        <v>0</v>
      </c>
      <c r="R8" s="382"/>
      <c r="S8" s="383">
        <f>$C$6*SUM(C8:D8)+$E$6*SUM(E8:F8)+$G$6*SUM(G8:H8)+$I$6*SUM(I8:J8)+$K$6*SUM(K8:L8)+$M$6*SUM(M8:N8)+$O$6*SUM(O8:P8)+$Q$6*SUM(Q8:R8)</f>
        <v>2931982.8800000004</v>
      </c>
    </row>
    <row r="9" spans="1:19" x14ac:dyDescent="0.3">
      <c r="A9" s="379">
        <v>2</v>
      </c>
      <c r="B9" s="380" t="s">
        <v>383</v>
      </c>
      <c r="C9" s="381">
        <v>0</v>
      </c>
      <c r="D9" s="381"/>
      <c r="E9" s="381">
        <v>0</v>
      </c>
      <c r="F9" s="381"/>
      <c r="G9" s="381">
        <v>0</v>
      </c>
      <c r="H9" s="381"/>
      <c r="I9" s="381">
        <v>0</v>
      </c>
      <c r="J9" s="381"/>
      <c r="K9" s="381">
        <v>0</v>
      </c>
      <c r="L9" s="381"/>
      <c r="M9" s="381">
        <v>0</v>
      </c>
      <c r="N9" s="381"/>
      <c r="O9" s="381">
        <v>0</v>
      </c>
      <c r="P9" s="381"/>
      <c r="Q9" s="381">
        <v>0</v>
      </c>
      <c r="R9" s="382"/>
      <c r="S9" s="383">
        <f t="shared" ref="S9:S21" si="0">$C$6*SUM(C9:D9)+$E$6*SUM(E9:F9)+$G$6*SUM(G9:H9)+$I$6*SUM(I9:J9)+$K$6*SUM(K9:L9)+$M$6*SUM(M9:N9)+$O$6*SUM(O9:P9)+$Q$6*SUM(Q9:R9)</f>
        <v>0</v>
      </c>
    </row>
    <row r="10" spans="1:19" x14ac:dyDescent="0.3">
      <c r="A10" s="379">
        <v>3</v>
      </c>
      <c r="B10" s="380" t="s">
        <v>384</v>
      </c>
      <c r="C10" s="381">
        <v>0</v>
      </c>
      <c r="D10" s="381"/>
      <c r="E10" s="381">
        <v>0</v>
      </c>
      <c r="F10" s="381"/>
      <c r="G10" s="381">
        <v>0</v>
      </c>
      <c r="H10" s="381"/>
      <c r="I10" s="381">
        <v>0</v>
      </c>
      <c r="J10" s="381"/>
      <c r="K10" s="381">
        <v>0</v>
      </c>
      <c r="L10" s="381"/>
      <c r="M10" s="381">
        <v>0</v>
      </c>
      <c r="N10" s="381"/>
      <c r="O10" s="381">
        <v>0</v>
      </c>
      <c r="P10" s="381"/>
      <c r="Q10" s="381">
        <v>0</v>
      </c>
      <c r="R10" s="382"/>
      <c r="S10" s="383">
        <f t="shared" si="0"/>
        <v>0</v>
      </c>
    </row>
    <row r="11" spans="1:19" x14ac:dyDescent="0.3">
      <c r="A11" s="379">
        <v>4</v>
      </c>
      <c r="B11" s="380" t="s">
        <v>385</v>
      </c>
      <c r="C11" s="381">
        <v>0</v>
      </c>
      <c r="D11" s="381"/>
      <c r="E11" s="381">
        <v>0</v>
      </c>
      <c r="F11" s="381"/>
      <c r="G11" s="381">
        <v>0</v>
      </c>
      <c r="H11" s="381"/>
      <c r="I11" s="381">
        <v>0</v>
      </c>
      <c r="J11" s="381"/>
      <c r="K11" s="381">
        <v>0</v>
      </c>
      <c r="L11" s="381"/>
      <c r="M11" s="381">
        <v>0</v>
      </c>
      <c r="N11" s="381"/>
      <c r="O11" s="381">
        <v>0</v>
      </c>
      <c r="P11" s="381"/>
      <c r="Q11" s="381">
        <v>0</v>
      </c>
      <c r="R11" s="382"/>
      <c r="S11" s="383">
        <f t="shared" si="0"/>
        <v>0</v>
      </c>
    </row>
    <row r="12" spans="1:19" x14ac:dyDescent="0.3">
      <c r="A12" s="379">
        <v>5</v>
      </c>
      <c r="B12" s="380" t="s">
        <v>386</v>
      </c>
      <c r="C12" s="381">
        <v>0</v>
      </c>
      <c r="D12" s="381"/>
      <c r="E12" s="381">
        <v>0</v>
      </c>
      <c r="F12" s="381"/>
      <c r="G12" s="381">
        <v>0</v>
      </c>
      <c r="H12" s="381"/>
      <c r="I12" s="381">
        <v>0</v>
      </c>
      <c r="J12" s="381"/>
      <c r="K12" s="381">
        <v>0</v>
      </c>
      <c r="L12" s="381"/>
      <c r="M12" s="381">
        <v>0</v>
      </c>
      <c r="N12" s="381"/>
      <c r="O12" s="381">
        <v>0</v>
      </c>
      <c r="P12" s="381"/>
      <c r="Q12" s="381">
        <v>0</v>
      </c>
      <c r="R12" s="382"/>
      <c r="S12" s="383">
        <f t="shared" si="0"/>
        <v>0</v>
      </c>
    </row>
    <row r="13" spans="1:19" x14ac:dyDescent="0.3">
      <c r="A13" s="379">
        <v>6</v>
      </c>
      <c r="B13" s="380" t="s">
        <v>387</v>
      </c>
      <c r="C13" s="381">
        <v>0</v>
      </c>
      <c r="D13" s="381"/>
      <c r="E13" s="381">
        <v>3851367.3</v>
      </c>
      <c r="F13" s="381"/>
      <c r="G13" s="381">
        <v>0</v>
      </c>
      <c r="H13" s="381"/>
      <c r="I13" s="381">
        <v>0</v>
      </c>
      <c r="J13" s="381"/>
      <c r="K13" s="381">
        <v>0</v>
      </c>
      <c r="L13" s="381"/>
      <c r="M13" s="381">
        <v>2624084.0700000012</v>
      </c>
      <c r="N13" s="381"/>
      <c r="O13" s="381">
        <v>0</v>
      </c>
      <c r="P13" s="381"/>
      <c r="Q13" s="381">
        <v>0</v>
      </c>
      <c r="R13" s="382"/>
      <c r="S13" s="383">
        <f t="shared" si="0"/>
        <v>3394357.5300000012</v>
      </c>
    </row>
    <row r="14" spans="1:19" x14ac:dyDescent="0.3">
      <c r="A14" s="379">
        <v>7</v>
      </c>
      <c r="B14" s="380" t="s">
        <v>388</v>
      </c>
      <c r="C14" s="381">
        <v>0</v>
      </c>
      <c r="D14" s="381"/>
      <c r="E14" s="381">
        <v>0</v>
      </c>
      <c r="F14" s="381"/>
      <c r="G14" s="381">
        <v>0</v>
      </c>
      <c r="H14" s="381"/>
      <c r="I14" s="381">
        <v>0</v>
      </c>
      <c r="J14" s="381"/>
      <c r="K14" s="381">
        <v>0</v>
      </c>
      <c r="L14" s="381"/>
      <c r="M14" s="381">
        <v>10071258.799440542</v>
      </c>
      <c r="N14" s="381">
        <v>755104</v>
      </c>
      <c r="O14" s="381">
        <v>0</v>
      </c>
      <c r="P14" s="381"/>
      <c r="Q14" s="381">
        <v>0</v>
      </c>
      <c r="R14" s="382"/>
      <c r="S14" s="383">
        <f t="shared" si="0"/>
        <v>10826362.799440542</v>
      </c>
    </row>
    <row r="15" spans="1:19" s="928" customFormat="1" x14ac:dyDescent="0.3">
      <c r="A15" s="923">
        <v>8</v>
      </c>
      <c r="B15" s="924" t="s">
        <v>389</v>
      </c>
      <c r="C15" s="925">
        <v>0</v>
      </c>
      <c r="D15" s="925"/>
      <c r="E15" s="925">
        <v>0</v>
      </c>
      <c r="F15" s="925"/>
      <c r="G15" s="925">
        <v>0</v>
      </c>
      <c r="H15" s="925"/>
      <c r="I15" s="925">
        <v>0</v>
      </c>
      <c r="J15" s="925"/>
      <c r="K15" s="925">
        <v>0</v>
      </c>
      <c r="L15" s="925"/>
      <c r="M15" s="925">
        <v>6765180.0999999996</v>
      </c>
      <c r="N15" s="925"/>
      <c r="O15" s="925">
        <v>0</v>
      </c>
      <c r="P15" s="925"/>
      <c r="Q15" s="925">
        <v>0</v>
      </c>
      <c r="R15" s="926"/>
      <c r="S15" s="927">
        <f t="shared" si="0"/>
        <v>6765180.0999999996</v>
      </c>
    </row>
    <row r="16" spans="1:19" s="928" customFormat="1" x14ac:dyDescent="0.3">
      <c r="A16" s="923">
        <v>9</v>
      </c>
      <c r="B16" s="924" t="s">
        <v>390</v>
      </c>
      <c r="C16" s="925">
        <v>0</v>
      </c>
      <c r="D16" s="925"/>
      <c r="E16" s="925">
        <v>0</v>
      </c>
      <c r="F16" s="925"/>
      <c r="G16" s="925">
        <v>0</v>
      </c>
      <c r="H16" s="925"/>
      <c r="I16" s="925">
        <v>0</v>
      </c>
      <c r="J16" s="925"/>
      <c r="K16" s="925">
        <v>0</v>
      </c>
      <c r="L16" s="925"/>
      <c r="M16" s="925">
        <v>0</v>
      </c>
      <c r="N16" s="925"/>
      <c r="O16" s="925">
        <v>0</v>
      </c>
      <c r="P16" s="925"/>
      <c r="Q16" s="925">
        <v>0</v>
      </c>
      <c r="R16" s="926"/>
      <c r="S16" s="927">
        <f t="shared" si="0"/>
        <v>0</v>
      </c>
    </row>
    <row r="17" spans="1:19" s="928" customFormat="1" x14ac:dyDescent="0.3">
      <c r="A17" s="923">
        <v>10</v>
      </c>
      <c r="B17" s="924" t="s">
        <v>391</v>
      </c>
      <c r="C17" s="925">
        <v>0</v>
      </c>
      <c r="D17" s="925"/>
      <c r="E17" s="925">
        <v>0</v>
      </c>
      <c r="F17" s="925"/>
      <c r="G17" s="925">
        <v>0</v>
      </c>
      <c r="H17" s="925"/>
      <c r="I17" s="925">
        <v>0</v>
      </c>
      <c r="J17" s="925"/>
      <c r="K17" s="925">
        <v>0</v>
      </c>
      <c r="L17" s="925"/>
      <c r="M17" s="925">
        <v>707314.72</v>
      </c>
      <c r="N17" s="925"/>
      <c r="O17" s="925">
        <v>0</v>
      </c>
      <c r="P17" s="925"/>
      <c r="Q17" s="925">
        <v>0</v>
      </c>
      <c r="R17" s="926"/>
      <c r="S17" s="927">
        <f t="shared" si="0"/>
        <v>707314.72</v>
      </c>
    </row>
    <row r="18" spans="1:19" s="928" customFormat="1" x14ac:dyDescent="0.3">
      <c r="A18" s="923">
        <v>11</v>
      </c>
      <c r="B18" s="924" t="s">
        <v>392</v>
      </c>
      <c r="C18" s="925">
        <v>0</v>
      </c>
      <c r="D18" s="925"/>
      <c r="E18" s="925">
        <v>0</v>
      </c>
      <c r="F18" s="925"/>
      <c r="G18" s="925">
        <v>0</v>
      </c>
      <c r="H18" s="925"/>
      <c r="I18" s="925">
        <v>0</v>
      </c>
      <c r="J18" s="925"/>
      <c r="K18" s="925">
        <v>0</v>
      </c>
      <c r="L18" s="925"/>
      <c r="M18" s="925">
        <v>0</v>
      </c>
      <c r="N18" s="925"/>
      <c r="O18" s="925">
        <v>0</v>
      </c>
      <c r="P18" s="925"/>
      <c r="Q18" s="925">
        <v>0</v>
      </c>
      <c r="R18" s="926"/>
      <c r="S18" s="927">
        <f t="shared" si="0"/>
        <v>0</v>
      </c>
    </row>
    <row r="19" spans="1:19" s="928" customFormat="1" x14ac:dyDescent="0.3">
      <c r="A19" s="923">
        <v>12</v>
      </c>
      <c r="B19" s="924" t="s">
        <v>393</v>
      </c>
      <c r="C19" s="925">
        <v>0</v>
      </c>
      <c r="D19" s="925"/>
      <c r="E19" s="925">
        <v>0</v>
      </c>
      <c r="F19" s="925"/>
      <c r="G19" s="925">
        <v>0</v>
      </c>
      <c r="H19" s="925"/>
      <c r="I19" s="925">
        <v>0</v>
      </c>
      <c r="J19" s="925"/>
      <c r="K19" s="925">
        <v>0</v>
      </c>
      <c r="L19" s="925"/>
      <c r="M19" s="925">
        <v>0</v>
      </c>
      <c r="N19" s="925"/>
      <c r="O19" s="925">
        <v>0</v>
      </c>
      <c r="P19" s="925"/>
      <c r="Q19" s="925">
        <v>0</v>
      </c>
      <c r="R19" s="926"/>
      <c r="S19" s="927">
        <f t="shared" si="0"/>
        <v>0</v>
      </c>
    </row>
    <row r="20" spans="1:19" s="928" customFormat="1" x14ac:dyDescent="0.3">
      <c r="A20" s="923">
        <v>13</v>
      </c>
      <c r="B20" s="924" t="s">
        <v>394</v>
      </c>
      <c r="C20" s="925">
        <v>0</v>
      </c>
      <c r="D20" s="925"/>
      <c r="E20" s="925">
        <v>0</v>
      </c>
      <c r="F20" s="925"/>
      <c r="G20" s="925">
        <v>0</v>
      </c>
      <c r="H20" s="925"/>
      <c r="I20" s="925">
        <v>0</v>
      </c>
      <c r="J20" s="925"/>
      <c r="K20" s="925">
        <v>0</v>
      </c>
      <c r="L20" s="925"/>
      <c r="M20" s="925">
        <v>0</v>
      </c>
      <c r="N20" s="925"/>
      <c r="O20" s="925">
        <v>0</v>
      </c>
      <c r="P20" s="925"/>
      <c r="Q20" s="925">
        <v>0</v>
      </c>
      <c r="R20" s="926"/>
      <c r="S20" s="927">
        <f t="shared" si="0"/>
        <v>0</v>
      </c>
    </row>
    <row r="21" spans="1:19" s="928" customFormat="1" x14ac:dyDescent="0.3">
      <c r="A21" s="923">
        <v>14</v>
      </c>
      <c r="B21" s="924" t="s">
        <v>395</v>
      </c>
      <c r="C21" s="925">
        <v>2364620.08</v>
      </c>
      <c r="D21" s="925"/>
      <c r="E21" s="925">
        <v>207204.91999999993</v>
      </c>
      <c r="F21" s="925"/>
      <c r="G21" s="925">
        <v>0</v>
      </c>
      <c r="H21" s="925"/>
      <c r="I21" s="925">
        <v>0</v>
      </c>
      <c r="J21" s="925"/>
      <c r="K21" s="925">
        <v>0</v>
      </c>
      <c r="L21" s="925"/>
      <c r="M21" s="925">
        <v>23796388.081792615</v>
      </c>
      <c r="N21" s="925"/>
      <c r="O21" s="925">
        <v>0</v>
      </c>
      <c r="P21" s="925"/>
      <c r="Q21" s="925">
        <v>0</v>
      </c>
      <c r="R21" s="926"/>
      <c r="S21" s="927">
        <f t="shared" si="0"/>
        <v>23837829.065792616</v>
      </c>
    </row>
    <row r="22" spans="1:19" ht="14.4" thickBot="1" x14ac:dyDescent="0.35">
      <c r="A22" s="384"/>
      <c r="B22" s="385" t="s">
        <v>54</v>
      </c>
      <c r="C22" s="386">
        <f>SUM(C8:C21)</f>
        <v>27764133.70800484</v>
      </c>
      <c r="D22" s="386">
        <f t="shared" ref="D22:S22" si="1">SUM(D8:D21)</f>
        <v>0</v>
      </c>
      <c r="E22" s="386">
        <f t="shared" si="1"/>
        <v>4058572.2199999997</v>
      </c>
      <c r="F22" s="386">
        <f t="shared" si="1"/>
        <v>0</v>
      </c>
      <c r="G22" s="386">
        <f t="shared" si="1"/>
        <v>0</v>
      </c>
      <c r="H22" s="386">
        <f t="shared" si="1"/>
        <v>0</v>
      </c>
      <c r="I22" s="386">
        <f t="shared" si="1"/>
        <v>0</v>
      </c>
      <c r="J22" s="386">
        <f t="shared" si="1"/>
        <v>0</v>
      </c>
      <c r="K22" s="386">
        <f t="shared" si="1"/>
        <v>0</v>
      </c>
      <c r="L22" s="386">
        <f t="shared" si="1"/>
        <v>0</v>
      </c>
      <c r="M22" s="386">
        <f t="shared" si="1"/>
        <v>46896208.651233159</v>
      </c>
      <c r="N22" s="386">
        <f t="shared" si="1"/>
        <v>755104</v>
      </c>
      <c r="O22" s="386">
        <f t="shared" si="1"/>
        <v>0</v>
      </c>
      <c r="P22" s="386">
        <f t="shared" si="1"/>
        <v>0</v>
      </c>
      <c r="Q22" s="386">
        <f t="shared" si="1"/>
        <v>0</v>
      </c>
      <c r="R22" s="386">
        <f t="shared" si="1"/>
        <v>0</v>
      </c>
      <c r="S22" s="387">
        <f t="shared" si="1"/>
        <v>48463027.095233157</v>
      </c>
    </row>
    <row r="24" spans="1:19" s="928" customFormat="1" x14ac:dyDescent="0.3">
      <c r="A24" s="897"/>
      <c r="B24" s="897"/>
      <c r="C24" s="929"/>
      <c r="D24" s="897"/>
      <c r="E24" s="929"/>
      <c r="F24" s="897"/>
      <c r="G24" s="929"/>
      <c r="H24" s="897"/>
      <c r="I24" s="929"/>
      <c r="J24" s="897"/>
      <c r="K24" s="929"/>
      <c r="L24" s="897"/>
      <c r="M24" s="929"/>
      <c r="N24" s="929"/>
      <c r="O24" s="929"/>
      <c r="P24" s="897"/>
      <c r="Q24" s="929"/>
      <c r="R24" s="930"/>
      <c r="S24" s="931"/>
    </row>
    <row r="25" spans="1:19" x14ac:dyDescent="0.3">
      <c r="R25" s="932"/>
      <c r="S25" s="929"/>
    </row>
    <row r="26" spans="1:19" x14ac:dyDescent="0.3">
      <c r="R26" s="929"/>
      <c r="S26" s="897"/>
    </row>
    <row r="27" spans="1:19" x14ac:dyDescent="0.3">
      <c r="R27" s="897"/>
      <c r="S27" s="897"/>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8CDB-19F6-4C08-A504-46269B96C503}">
  <dimension ref="A1:V28"/>
  <sheetViews>
    <sheetView zoomScale="70" zoomScaleNormal="70" workbookViewId="0">
      <pane xSplit="2" ySplit="6" topLeftCell="C7" activePane="bottomRight" state="frozen"/>
      <selection activeCell="D1" sqref="D1:D3"/>
      <selection pane="topRight" activeCell="D1" sqref="D1:D3"/>
      <selection pane="bottomLeft" activeCell="D1" sqref="D1:D3"/>
      <selection pane="bottomRight" activeCell="E1" sqref="E1"/>
    </sheetView>
  </sheetViews>
  <sheetFormatPr defaultColWidth="9.109375" defaultRowHeight="13.8" x14ac:dyDescent="0.3"/>
  <cols>
    <col min="1" max="1" width="10.5546875" style="4" bestFit="1" customWidth="1"/>
    <col min="2" max="2" width="74.5546875" style="4" customWidth="1"/>
    <col min="3" max="3" width="19" style="4" customWidth="1"/>
    <col min="4" max="4" width="19.5546875" style="4" customWidth="1"/>
    <col min="5" max="5" width="31.109375" style="4" customWidth="1"/>
    <col min="6" max="6" width="29.109375" style="4" customWidth="1"/>
    <col min="7" max="7" width="28.5546875" style="4" customWidth="1"/>
    <col min="8" max="8" width="26.44140625" style="4" customWidth="1"/>
    <col min="9" max="9" width="23.6640625" style="4" customWidth="1"/>
    <col min="10" max="10" width="21.5546875" style="4" customWidth="1"/>
    <col min="11" max="11" width="15.6640625" style="4" customWidth="1"/>
    <col min="12" max="12" width="13.33203125" style="4" customWidth="1"/>
    <col min="13" max="13" width="20.88671875" style="4" customWidth="1"/>
    <col min="14" max="14" width="19.33203125" style="4" customWidth="1"/>
    <col min="15" max="15" width="18.44140625" style="4" customWidth="1"/>
    <col min="16" max="16" width="19" style="4" customWidth="1"/>
    <col min="17" max="17" width="20.33203125" style="4" customWidth="1"/>
    <col min="18" max="18" width="18" style="4" customWidth="1"/>
    <col min="19" max="19" width="36" style="4" customWidth="1"/>
    <col min="20" max="20" width="19.44140625" style="4" customWidth="1"/>
    <col min="21" max="21" width="19.109375" style="4" customWidth="1"/>
    <col min="22" max="22" width="20" style="4" customWidth="1"/>
    <col min="23" max="16384" width="9.109375" style="224"/>
  </cols>
  <sheetData>
    <row r="1" spans="1:22" x14ac:dyDescent="0.3">
      <c r="A1" s="4" t="s">
        <v>0</v>
      </c>
      <c r="B1" s="4" t="s">
        <v>199</v>
      </c>
    </row>
    <row r="2" spans="1:22" x14ac:dyDescent="0.3">
      <c r="A2" s="4" t="s">
        <v>1</v>
      </c>
      <c r="B2" s="5">
        <f>'1. key ratios'!B2</f>
        <v>45016</v>
      </c>
    </row>
    <row r="4" spans="1:22" ht="28.2" thickBot="1" x14ac:dyDescent="0.35">
      <c r="A4" s="4" t="s">
        <v>396</v>
      </c>
      <c r="B4" s="365" t="s">
        <v>397</v>
      </c>
      <c r="V4" s="326" t="s">
        <v>292</v>
      </c>
    </row>
    <row r="5" spans="1:22" x14ac:dyDescent="0.3">
      <c r="A5" s="388"/>
      <c r="B5" s="389"/>
      <c r="C5" s="390" t="s">
        <v>398</v>
      </c>
      <c r="D5" s="391"/>
      <c r="E5" s="391"/>
      <c r="F5" s="391"/>
      <c r="G5" s="391"/>
      <c r="H5" s="391"/>
      <c r="I5" s="391"/>
      <c r="J5" s="391"/>
      <c r="K5" s="391"/>
      <c r="L5" s="392"/>
      <c r="M5" s="390" t="s">
        <v>399</v>
      </c>
      <c r="N5" s="391"/>
      <c r="O5" s="391"/>
      <c r="P5" s="391"/>
      <c r="Q5" s="391"/>
      <c r="R5" s="391"/>
      <c r="S5" s="392"/>
      <c r="T5" s="393" t="s">
        <v>400</v>
      </c>
      <c r="U5" s="393" t="s">
        <v>401</v>
      </c>
      <c r="V5" s="394" t="s">
        <v>402</v>
      </c>
    </row>
    <row r="6" spans="1:22" s="290" customFormat="1" ht="138" x14ac:dyDescent="0.3">
      <c r="A6" s="277"/>
      <c r="B6" s="395"/>
      <c r="C6" s="396" t="s">
        <v>403</v>
      </c>
      <c r="D6" s="397" t="s">
        <v>404</v>
      </c>
      <c r="E6" s="398" t="s">
        <v>405</v>
      </c>
      <c r="F6" s="398" t="s">
        <v>406</v>
      </c>
      <c r="G6" s="397" t="s">
        <v>407</v>
      </c>
      <c r="H6" s="397" t="s">
        <v>408</v>
      </c>
      <c r="I6" s="397" t="s">
        <v>409</v>
      </c>
      <c r="J6" s="397" t="s">
        <v>410</v>
      </c>
      <c r="K6" s="397" t="s">
        <v>411</v>
      </c>
      <c r="L6" s="399" t="s">
        <v>412</v>
      </c>
      <c r="M6" s="396" t="s">
        <v>413</v>
      </c>
      <c r="N6" s="397" t="s">
        <v>414</v>
      </c>
      <c r="O6" s="397" t="s">
        <v>415</v>
      </c>
      <c r="P6" s="397" t="s">
        <v>416</v>
      </c>
      <c r="Q6" s="397" t="s">
        <v>417</v>
      </c>
      <c r="R6" s="397" t="s">
        <v>418</v>
      </c>
      <c r="S6" s="399" t="s">
        <v>419</v>
      </c>
      <c r="T6" s="400"/>
      <c r="U6" s="400"/>
      <c r="V6" s="401"/>
    </row>
    <row r="7" spans="1:22" x14ac:dyDescent="0.3">
      <c r="A7" s="402">
        <v>1</v>
      </c>
      <c r="B7" s="403" t="s">
        <v>382</v>
      </c>
      <c r="C7" s="404"/>
      <c r="D7" s="381"/>
      <c r="E7" s="381"/>
      <c r="F7" s="381"/>
      <c r="G7" s="381"/>
      <c r="H7" s="381"/>
      <c r="I7" s="381"/>
      <c r="J7" s="381"/>
      <c r="K7" s="381"/>
      <c r="L7" s="405"/>
      <c r="M7" s="404"/>
      <c r="N7" s="381"/>
      <c r="O7" s="381"/>
      <c r="P7" s="381"/>
      <c r="Q7" s="381"/>
      <c r="R7" s="381"/>
      <c r="S7" s="405"/>
      <c r="T7" s="406"/>
      <c r="U7" s="407"/>
      <c r="V7" s="408">
        <f>SUM(C7:S7)</f>
        <v>0</v>
      </c>
    </row>
    <row r="8" spans="1:22" x14ac:dyDescent="0.3">
      <c r="A8" s="402">
        <v>2</v>
      </c>
      <c r="B8" s="403" t="s">
        <v>383</v>
      </c>
      <c r="C8" s="404"/>
      <c r="D8" s="381"/>
      <c r="E8" s="381"/>
      <c r="F8" s="381"/>
      <c r="G8" s="381"/>
      <c r="H8" s="381"/>
      <c r="I8" s="381"/>
      <c r="J8" s="381"/>
      <c r="K8" s="381"/>
      <c r="L8" s="405"/>
      <c r="M8" s="404"/>
      <c r="N8" s="381"/>
      <c r="O8" s="381"/>
      <c r="P8" s="381"/>
      <c r="Q8" s="381"/>
      <c r="R8" s="381"/>
      <c r="S8" s="405"/>
      <c r="T8" s="407"/>
      <c r="U8" s="407"/>
      <c r="V8" s="408">
        <f t="shared" ref="V8:V20" si="0">SUM(C8:S8)</f>
        <v>0</v>
      </c>
    </row>
    <row r="9" spans="1:22" x14ac:dyDescent="0.3">
      <c r="A9" s="402">
        <v>3</v>
      </c>
      <c r="B9" s="403" t="s">
        <v>384</v>
      </c>
      <c r="C9" s="404"/>
      <c r="D9" s="381"/>
      <c r="E9" s="381"/>
      <c r="F9" s="381"/>
      <c r="G9" s="381"/>
      <c r="H9" s="381"/>
      <c r="I9" s="381"/>
      <c r="J9" s="381"/>
      <c r="K9" s="381"/>
      <c r="L9" s="405"/>
      <c r="M9" s="404"/>
      <c r="N9" s="381"/>
      <c r="O9" s="381"/>
      <c r="P9" s="381"/>
      <c r="Q9" s="381"/>
      <c r="R9" s="381"/>
      <c r="S9" s="405"/>
      <c r="T9" s="407"/>
      <c r="U9" s="407"/>
      <c r="V9" s="408">
        <f>SUM(C9:S9)</f>
        <v>0</v>
      </c>
    </row>
    <row r="10" spans="1:22" x14ac:dyDescent="0.3">
      <c r="A10" s="402">
        <v>4</v>
      </c>
      <c r="B10" s="403" t="s">
        <v>385</v>
      </c>
      <c r="C10" s="404"/>
      <c r="D10" s="381"/>
      <c r="E10" s="381"/>
      <c r="F10" s="381"/>
      <c r="G10" s="381"/>
      <c r="H10" s="381"/>
      <c r="I10" s="381"/>
      <c r="J10" s="381"/>
      <c r="K10" s="381"/>
      <c r="L10" s="405"/>
      <c r="M10" s="404"/>
      <c r="N10" s="381"/>
      <c r="O10" s="381"/>
      <c r="P10" s="381"/>
      <c r="Q10" s="381"/>
      <c r="R10" s="381"/>
      <c r="S10" s="405"/>
      <c r="T10" s="407"/>
      <c r="U10" s="407"/>
      <c r="V10" s="408">
        <f t="shared" si="0"/>
        <v>0</v>
      </c>
    </row>
    <row r="11" spans="1:22" x14ac:dyDescent="0.3">
      <c r="A11" s="402">
        <v>5</v>
      </c>
      <c r="B11" s="403" t="s">
        <v>386</v>
      </c>
      <c r="C11" s="404"/>
      <c r="D11" s="381"/>
      <c r="E11" s="381"/>
      <c r="F11" s="381"/>
      <c r="G11" s="381"/>
      <c r="H11" s="381"/>
      <c r="I11" s="381"/>
      <c r="J11" s="381"/>
      <c r="K11" s="381"/>
      <c r="L11" s="405"/>
      <c r="M11" s="404"/>
      <c r="N11" s="381"/>
      <c r="O11" s="381"/>
      <c r="P11" s="381"/>
      <c r="Q11" s="381"/>
      <c r="R11" s="381"/>
      <c r="S11" s="405"/>
      <c r="T11" s="407"/>
      <c r="U11" s="407"/>
      <c r="V11" s="408">
        <f t="shared" si="0"/>
        <v>0</v>
      </c>
    </row>
    <row r="12" spans="1:22" x14ac:dyDescent="0.3">
      <c r="A12" s="402">
        <v>6</v>
      </c>
      <c r="B12" s="403" t="s">
        <v>387</v>
      </c>
      <c r="C12" s="404"/>
      <c r="D12" s="381"/>
      <c r="E12" s="381"/>
      <c r="F12" s="381"/>
      <c r="G12" s="381"/>
      <c r="H12" s="381"/>
      <c r="I12" s="381"/>
      <c r="J12" s="381"/>
      <c r="K12" s="381"/>
      <c r="L12" s="405"/>
      <c r="M12" s="404"/>
      <c r="N12" s="381"/>
      <c r="O12" s="381"/>
      <c r="P12" s="381"/>
      <c r="Q12" s="381"/>
      <c r="R12" s="381"/>
      <c r="S12" s="405"/>
      <c r="T12" s="407"/>
      <c r="U12" s="407"/>
      <c r="V12" s="408">
        <f t="shared" si="0"/>
        <v>0</v>
      </c>
    </row>
    <row r="13" spans="1:22" x14ac:dyDescent="0.3">
      <c r="A13" s="402">
        <v>7</v>
      </c>
      <c r="B13" s="403" t="s">
        <v>388</v>
      </c>
      <c r="C13" s="404"/>
      <c r="D13" s="381"/>
      <c r="E13" s="381"/>
      <c r="F13" s="381"/>
      <c r="G13" s="381"/>
      <c r="H13" s="381"/>
      <c r="I13" s="381"/>
      <c r="J13" s="381"/>
      <c r="K13" s="381"/>
      <c r="L13" s="405"/>
      <c r="M13" s="404"/>
      <c r="N13" s="381"/>
      <c r="O13" s="381"/>
      <c r="P13" s="381"/>
      <c r="Q13" s="381"/>
      <c r="R13" s="381"/>
      <c r="S13" s="405"/>
      <c r="T13" s="407"/>
      <c r="U13" s="407"/>
      <c r="V13" s="408">
        <f t="shared" si="0"/>
        <v>0</v>
      </c>
    </row>
    <row r="14" spans="1:22" x14ac:dyDescent="0.3">
      <c r="A14" s="402">
        <v>8</v>
      </c>
      <c r="B14" s="403" t="s">
        <v>389</v>
      </c>
      <c r="C14" s="404"/>
      <c r="D14" s="381"/>
      <c r="E14" s="381"/>
      <c r="F14" s="381"/>
      <c r="G14" s="381"/>
      <c r="H14" s="381"/>
      <c r="I14" s="381"/>
      <c r="J14" s="381"/>
      <c r="K14" s="381"/>
      <c r="L14" s="405"/>
      <c r="M14" s="404"/>
      <c r="N14" s="381"/>
      <c r="O14" s="381"/>
      <c r="P14" s="381"/>
      <c r="Q14" s="381"/>
      <c r="R14" s="381"/>
      <c r="S14" s="405"/>
      <c r="T14" s="407"/>
      <c r="U14" s="407"/>
      <c r="V14" s="408">
        <f t="shared" si="0"/>
        <v>0</v>
      </c>
    </row>
    <row r="15" spans="1:22" x14ac:dyDescent="0.3">
      <c r="A15" s="402">
        <v>9</v>
      </c>
      <c r="B15" s="403" t="s">
        <v>390</v>
      </c>
      <c r="C15" s="404"/>
      <c r="D15" s="381"/>
      <c r="E15" s="381"/>
      <c r="F15" s="381"/>
      <c r="G15" s="381"/>
      <c r="H15" s="381"/>
      <c r="I15" s="381"/>
      <c r="J15" s="381"/>
      <c r="K15" s="381"/>
      <c r="L15" s="405"/>
      <c r="M15" s="404"/>
      <c r="N15" s="381"/>
      <c r="O15" s="381"/>
      <c r="P15" s="381"/>
      <c r="Q15" s="381"/>
      <c r="R15" s="381"/>
      <c r="S15" s="405"/>
      <c r="T15" s="407"/>
      <c r="U15" s="407"/>
      <c r="V15" s="408">
        <f t="shared" si="0"/>
        <v>0</v>
      </c>
    </row>
    <row r="16" spans="1:22" x14ac:dyDescent="0.3">
      <c r="A16" s="402">
        <v>10</v>
      </c>
      <c r="B16" s="403" t="s">
        <v>391</v>
      </c>
      <c r="C16" s="404"/>
      <c r="D16" s="381"/>
      <c r="E16" s="381"/>
      <c r="F16" s="381"/>
      <c r="G16" s="381"/>
      <c r="H16" s="381"/>
      <c r="I16" s="381"/>
      <c r="J16" s="381"/>
      <c r="K16" s="381"/>
      <c r="L16" s="405"/>
      <c r="M16" s="404"/>
      <c r="N16" s="381"/>
      <c r="O16" s="381"/>
      <c r="P16" s="381"/>
      <c r="Q16" s="381"/>
      <c r="R16" s="381"/>
      <c r="S16" s="405"/>
      <c r="T16" s="407"/>
      <c r="U16" s="407"/>
      <c r="V16" s="408">
        <f t="shared" si="0"/>
        <v>0</v>
      </c>
    </row>
    <row r="17" spans="1:22" x14ac:dyDescent="0.3">
      <c r="A17" s="402">
        <v>11</v>
      </c>
      <c r="B17" s="403" t="s">
        <v>392</v>
      </c>
      <c r="C17" s="404"/>
      <c r="D17" s="381"/>
      <c r="E17" s="381"/>
      <c r="F17" s="381"/>
      <c r="G17" s="381"/>
      <c r="H17" s="381"/>
      <c r="I17" s="381"/>
      <c r="J17" s="381"/>
      <c r="K17" s="381"/>
      <c r="L17" s="405"/>
      <c r="M17" s="404"/>
      <c r="N17" s="381"/>
      <c r="O17" s="381"/>
      <c r="P17" s="381"/>
      <c r="Q17" s="381"/>
      <c r="R17" s="381"/>
      <c r="S17" s="405"/>
      <c r="T17" s="407"/>
      <c r="U17" s="407"/>
      <c r="V17" s="408">
        <f t="shared" si="0"/>
        <v>0</v>
      </c>
    </row>
    <row r="18" spans="1:22" x14ac:dyDescent="0.3">
      <c r="A18" s="402">
        <v>12</v>
      </c>
      <c r="B18" s="403" t="s">
        <v>393</v>
      </c>
      <c r="C18" s="404"/>
      <c r="D18" s="381"/>
      <c r="E18" s="381"/>
      <c r="F18" s="381"/>
      <c r="G18" s="381"/>
      <c r="H18" s="381"/>
      <c r="I18" s="381"/>
      <c r="J18" s="381"/>
      <c r="K18" s="381"/>
      <c r="L18" s="405"/>
      <c r="M18" s="404"/>
      <c r="N18" s="381"/>
      <c r="O18" s="381"/>
      <c r="P18" s="381"/>
      <c r="Q18" s="381"/>
      <c r="R18" s="381"/>
      <c r="S18" s="405"/>
      <c r="T18" s="407"/>
      <c r="U18" s="407"/>
      <c r="V18" s="408">
        <f t="shared" si="0"/>
        <v>0</v>
      </c>
    </row>
    <row r="19" spans="1:22" x14ac:dyDescent="0.3">
      <c r="A19" s="402">
        <v>13</v>
      </c>
      <c r="B19" s="403" t="s">
        <v>394</v>
      </c>
      <c r="C19" s="404"/>
      <c r="D19" s="381"/>
      <c r="E19" s="381"/>
      <c r="F19" s="381"/>
      <c r="G19" s="381"/>
      <c r="H19" s="381"/>
      <c r="I19" s="381"/>
      <c r="J19" s="381"/>
      <c r="K19" s="381"/>
      <c r="L19" s="405"/>
      <c r="M19" s="404"/>
      <c r="N19" s="381"/>
      <c r="O19" s="381"/>
      <c r="P19" s="381"/>
      <c r="Q19" s="381"/>
      <c r="R19" s="381"/>
      <c r="S19" s="405"/>
      <c r="T19" s="407"/>
      <c r="U19" s="407"/>
      <c r="V19" s="408">
        <f t="shared" si="0"/>
        <v>0</v>
      </c>
    </row>
    <row r="20" spans="1:22" x14ac:dyDescent="0.3">
      <c r="A20" s="402">
        <v>14</v>
      </c>
      <c r="B20" s="403" t="s">
        <v>395</v>
      </c>
      <c r="C20" s="404"/>
      <c r="D20" s="381"/>
      <c r="E20" s="381"/>
      <c r="F20" s="381"/>
      <c r="G20" s="381"/>
      <c r="H20" s="381"/>
      <c r="I20" s="381"/>
      <c r="J20" s="381"/>
      <c r="K20" s="381"/>
      <c r="L20" s="405"/>
      <c r="M20" s="404"/>
      <c r="N20" s="381"/>
      <c r="O20" s="381"/>
      <c r="P20" s="381"/>
      <c r="Q20" s="381"/>
      <c r="R20" s="381"/>
      <c r="S20" s="405"/>
      <c r="T20" s="407"/>
      <c r="U20" s="407"/>
      <c r="V20" s="408">
        <f t="shared" si="0"/>
        <v>0</v>
      </c>
    </row>
    <row r="21" spans="1:22" ht="14.4" thickBot="1" x14ac:dyDescent="0.35">
      <c r="A21" s="384"/>
      <c r="B21" s="409" t="s">
        <v>54</v>
      </c>
      <c r="C21" s="410">
        <f>SUM(C7:C20)</f>
        <v>0</v>
      </c>
      <c r="D21" s="386">
        <f t="shared" ref="D21:V21" si="1">SUM(D7:D20)</f>
        <v>0</v>
      </c>
      <c r="E21" s="386">
        <f t="shared" si="1"/>
        <v>0</v>
      </c>
      <c r="F21" s="386">
        <f t="shared" si="1"/>
        <v>0</v>
      </c>
      <c r="G21" s="386">
        <f t="shared" si="1"/>
        <v>0</v>
      </c>
      <c r="H21" s="386">
        <f t="shared" si="1"/>
        <v>0</v>
      </c>
      <c r="I21" s="386">
        <f t="shared" si="1"/>
        <v>0</v>
      </c>
      <c r="J21" s="386">
        <f t="shared" si="1"/>
        <v>0</v>
      </c>
      <c r="K21" s="386">
        <f t="shared" si="1"/>
        <v>0</v>
      </c>
      <c r="L21" s="411">
        <f t="shared" si="1"/>
        <v>0</v>
      </c>
      <c r="M21" s="410">
        <f t="shared" si="1"/>
        <v>0</v>
      </c>
      <c r="N21" s="386">
        <f t="shared" si="1"/>
        <v>0</v>
      </c>
      <c r="O21" s="386">
        <f t="shared" si="1"/>
        <v>0</v>
      </c>
      <c r="P21" s="386">
        <f t="shared" si="1"/>
        <v>0</v>
      </c>
      <c r="Q21" s="386">
        <f t="shared" si="1"/>
        <v>0</v>
      </c>
      <c r="R21" s="386">
        <f t="shared" si="1"/>
        <v>0</v>
      </c>
      <c r="S21" s="411">
        <f t="shared" si="1"/>
        <v>0</v>
      </c>
      <c r="T21" s="411">
        <f>SUM(T7:T20)</f>
        <v>0</v>
      </c>
      <c r="U21" s="411">
        <f t="shared" si="1"/>
        <v>0</v>
      </c>
      <c r="V21" s="412">
        <f t="shared" si="1"/>
        <v>0</v>
      </c>
    </row>
    <row r="24" spans="1:22" x14ac:dyDescent="0.3">
      <c r="C24" s="413"/>
      <c r="D24" s="413"/>
      <c r="E24" s="413"/>
    </row>
    <row r="25" spans="1:22" x14ac:dyDescent="0.3">
      <c r="A25" s="272"/>
      <c r="B25" s="272"/>
      <c r="D25" s="413"/>
      <c r="E25" s="413"/>
    </row>
    <row r="26" spans="1:22" x14ac:dyDescent="0.3">
      <c r="A26" s="272"/>
      <c r="B26" s="414"/>
      <c r="D26" s="413"/>
      <c r="E26" s="413"/>
    </row>
    <row r="27" spans="1:22" x14ac:dyDescent="0.3">
      <c r="A27" s="272"/>
      <c r="B27" s="272"/>
      <c r="D27" s="413"/>
      <c r="E27" s="413"/>
    </row>
    <row r="28" spans="1:22" x14ac:dyDescent="0.3">
      <c r="A28" s="272"/>
      <c r="B28" s="414"/>
      <c r="D28" s="413"/>
      <c r="E28" s="413"/>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B4EF-1330-4418-91E8-E3DCCDF93A92}">
  <dimension ref="A1:I28"/>
  <sheetViews>
    <sheetView zoomScaleNormal="100" workbookViewId="0">
      <pane xSplit="1" ySplit="7" topLeftCell="C8" activePane="bottomRight" state="frozen"/>
      <selection activeCell="D1" sqref="D1:D3"/>
      <selection pane="topRight" activeCell="D1" sqref="D1:D3"/>
      <selection pane="bottomLeft" activeCell="D1" sqref="D1:D3"/>
      <selection pane="bottomRight" activeCell="L21" sqref="L21"/>
    </sheetView>
  </sheetViews>
  <sheetFormatPr defaultColWidth="9.109375" defaultRowHeight="13.8" x14ac:dyDescent="0.3"/>
  <cols>
    <col min="1" max="1" width="10.5546875" style="4" bestFit="1" customWidth="1"/>
    <col min="2" max="2" width="101.88671875" style="4" customWidth="1"/>
    <col min="3" max="3" width="13.6640625" style="4" customWidth="1"/>
    <col min="4" max="4" width="14.88671875" style="4" bestFit="1" customWidth="1"/>
    <col min="5" max="5" width="17.6640625" style="4" customWidth="1"/>
    <col min="6" max="6" width="15.88671875" style="4" customWidth="1"/>
    <col min="7" max="7" width="17.44140625" style="4" customWidth="1"/>
    <col min="8" max="8" width="15.33203125" style="4" customWidth="1"/>
    <col min="9" max="16384" width="9.109375" style="224"/>
  </cols>
  <sheetData>
    <row r="1" spans="1:9" x14ac:dyDescent="0.3">
      <c r="A1" s="4" t="s">
        <v>0</v>
      </c>
      <c r="B1" s="4" t="s">
        <v>199</v>
      </c>
    </row>
    <row r="2" spans="1:9" x14ac:dyDescent="0.3">
      <c r="A2" s="4" t="s">
        <v>1</v>
      </c>
      <c r="B2" s="5">
        <f>'1. key ratios'!B2</f>
        <v>45016</v>
      </c>
    </row>
    <row r="4" spans="1:9" ht="14.4" thickBot="1" x14ac:dyDescent="0.35">
      <c r="A4" s="4" t="s">
        <v>420</v>
      </c>
      <c r="B4" s="179" t="s">
        <v>421</v>
      </c>
    </row>
    <row r="5" spans="1:9" x14ac:dyDescent="0.3">
      <c r="A5" s="388"/>
      <c r="B5" s="415"/>
      <c r="C5" s="416" t="s">
        <v>304</v>
      </c>
      <c r="D5" s="416" t="s">
        <v>305</v>
      </c>
      <c r="E5" s="416" t="s">
        <v>306</v>
      </c>
      <c r="F5" s="416" t="s">
        <v>364</v>
      </c>
      <c r="G5" s="417" t="s">
        <v>365</v>
      </c>
      <c r="H5" s="418" t="s">
        <v>366</v>
      </c>
      <c r="I5" s="419"/>
    </row>
    <row r="6" spans="1:9" ht="15" customHeight="1" x14ac:dyDescent="0.3">
      <c r="A6" s="371"/>
      <c r="B6" s="420"/>
      <c r="C6" s="372" t="s">
        <v>422</v>
      </c>
      <c r="D6" s="421" t="s">
        <v>423</v>
      </c>
      <c r="E6" s="422"/>
      <c r="F6" s="372" t="s">
        <v>424</v>
      </c>
      <c r="G6" s="372" t="s">
        <v>425</v>
      </c>
      <c r="H6" s="423" t="s">
        <v>426</v>
      </c>
      <c r="I6" s="419"/>
    </row>
    <row r="7" spans="1:9" ht="69" x14ac:dyDescent="0.3">
      <c r="A7" s="371"/>
      <c r="B7" s="420"/>
      <c r="C7" s="376"/>
      <c r="D7" s="424" t="s">
        <v>427</v>
      </c>
      <c r="E7" s="424" t="s">
        <v>428</v>
      </c>
      <c r="F7" s="376"/>
      <c r="G7" s="376"/>
      <c r="H7" s="425"/>
      <c r="I7" s="419"/>
    </row>
    <row r="8" spans="1:9" x14ac:dyDescent="0.3">
      <c r="A8" s="426">
        <v>1</v>
      </c>
      <c r="B8" s="194" t="s">
        <v>382</v>
      </c>
      <c r="C8" s="381">
        <v>28331496.508004837</v>
      </c>
      <c r="D8" s="381"/>
      <c r="E8" s="381"/>
      <c r="F8" s="381">
        <v>2931982.8800000004</v>
      </c>
      <c r="G8" s="382">
        <v>2931982.8800000004</v>
      </c>
      <c r="H8" s="427">
        <f>G8/(C8+E8)</f>
        <v>0.10348845777248626</v>
      </c>
    </row>
    <row r="9" spans="1:9" ht="15" customHeight="1" x14ac:dyDescent="0.3">
      <c r="A9" s="426">
        <v>2</v>
      </c>
      <c r="B9" s="194" t="s">
        <v>383</v>
      </c>
      <c r="C9" s="381">
        <v>0</v>
      </c>
      <c r="D9" s="381"/>
      <c r="E9" s="381"/>
      <c r="F9" s="381">
        <v>0</v>
      </c>
      <c r="G9" s="382">
        <v>0</v>
      </c>
      <c r="H9" s="427" t="e">
        <f t="shared" ref="H9:H21" si="0">G9/(C9+E9)</f>
        <v>#DIV/0!</v>
      </c>
    </row>
    <row r="10" spans="1:9" x14ac:dyDescent="0.3">
      <c r="A10" s="426">
        <v>3</v>
      </c>
      <c r="B10" s="194" t="s">
        <v>384</v>
      </c>
      <c r="C10" s="381">
        <v>0</v>
      </c>
      <c r="D10" s="381"/>
      <c r="E10" s="381"/>
      <c r="F10" s="381">
        <v>0</v>
      </c>
      <c r="G10" s="382">
        <v>0</v>
      </c>
      <c r="H10" s="427" t="e">
        <f t="shared" si="0"/>
        <v>#DIV/0!</v>
      </c>
    </row>
    <row r="11" spans="1:9" x14ac:dyDescent="0.3">
      <c r="A11" s="426">
        <v>4</v>
      </c>
      <c r="B11" s="194" t="s">
        <v>385</v>
      </c>
      <c r="C11" s="381">
        <v>0</v>
      </c>
      <c r="D11" s="381"/>
      <c r="E11" s="381"/>
      <c r="F11" s="381">
        <v>0</v>
      </c>
      <c r="G11" s="382">
        <v>0</v>
      </c>
      <c r="H11" s="427" t="e">
        <f t="shared" si="0"/>
        <v>#DIV/0!</v>
      </c>
    </row>
    <row r="12" spans="1:9" x14ac:dyDescent="0.3">
      <c r="A12" s="426">
        <v>5</v>
      </c>
      <c r="B12" s="194" t="s">
        <v>386</v>
      </c>
      <c r="C12" s="381">
        <v>0</v>
      </c>
      <c r="D12" s="381"/>
      <c r="E12" s="381"/>
      <c r="F12" s="381">
        <v>0</v>
      </c>
      <c r="G12" s="382">
        <v>0</v>
      </c>
      <c r="H12" s="427" t="e">
        <f t="shared" si="0"/>
        <v>#DIV/0!</v>
      </c>
    </row>
    <row r="13" spans="1:9" x14ac:dyDescent="0.3">
      <c r="A13" s="426">
        <v>6</v>
      </c>
      <c r="B13" s="194" t="s">
        <v>387</v>
      </c>
      <c r="C13" s="381">
        <v>6475451.370000001</v>
      </c>
      <c r="D13" s="381"/>
      <c r="E13" s="381"/>
      <c r="F13" s="381">
        <v>3394357.5300000012</v>
      </c>
      <c r="G13" s="382">
        <v>3394357.5300000012</v>
      </c>
      <c r="H13" s="427">
        <f t="shared" si="0"/>
        <v>0.5241885601559233</v>
      </c>
    </row>
    <row r="14" spans="1:9" x14ac:dyDescent="0.3">
      <c r="A14" s="426">
        <v>7</v>
      </c>
      <c r="B14" s="194" t="s">
        <v>388</v>
      </c>
      <c r="C14" s="381">
        <v>10071258.799440542</v>
      </c>
      <c r="D14" s="381">
        <v>3382067.87</v>
      </c>
      <c r="E14" s="381">
        <v>755104</v>
      </c>
      <c r="F14" s="381">
        <v>10071258.799440542</v>
      </c>
      <c r="G14" s="382">
        <v>10071258.799440542</v>
      </c>
      <c r="H14" s="427">
        <f>G14/(C14+E14)</f>
        <v>0.93025321486187218</v>
      </c>
    </row>
    <row r="15" spans="1:9" x14ac:dyDescent="0.3">
      <c r="A15" s="426">
        <v>8</v>
      </c>
      <c r="B15" s="194" t="s">
        <v>389</v>
      </c>
      <c r="C15" s="381">
        <v>6765180.0999999996</v>
      </c>
      <c r="D15" s="381"/>
      <c r="E15" s="381"/>
      <c r="F15" s="381">
        <v>6765180.0999999996</v>
      </c>
      <c r="G15" s="382">
        <v>6765180.0999999996</v>
      </c>
      <c r="H15" s="427">
        <f t="shared" si="0"/>
        <v>1</v>
      </c>
    </row>
    <row r="16" spans="1:9" x14ac:dyDescent="0.3">
      <c r="A16" s="426">
        <v>9</v>
      </c>
      <c r="B16" s="194" t="s">
        <v>390</v>
      </c>
      <c r="C16" s="381">
        <v>0</v>
      </c>
      <c r="D16" s="381"/>
      <c r="E16" s="381"/>
      <c r="F16" s="381">
        <v>0</v>
      </c>
      <c r="G16" s="382">
        <v>0</v>
      </c>
      <c r="H16" s="427" t="e">
        <f t="shared" si="0"/>
        <v>#DIV/0!</v>
      </c>
    </row>
    <row r="17" spans="1:8" x14ac:dyDescent="0.3">
      <c r="A17" s="426">
        <v>10</v>
      </c>
      <c r="B17" s="194" t="s">
        <v>391</v>
      </c>
      <c r="C17" s="381">
        <v>707314.72</v>
      </c>
      <c r="D17" s="381"/>
      <c r="E17" s="381"/>
      <c r="F17" s="381">
        <v>707314.72</v>
      </c>
      <c r="G17" s="382">
        <v>707314.72</v>
      </c>
      <c r="H17" s="427">
        <f t="shared" si="0"/>
        <v>1</v>
      </c>
    </row>
    <row r="18" spans="1:8" x14ac:dyDescent="0.3">
      <c r="A18" s="426">
        <v>11</v>
      </c>
      <c r="B18" s="194" t="s">
        <v>392</v>
      </c>
      <c r="C18" s="381">
        <v>0</v>
      </c>
      <c r="D18" s="381"/>
      <c r="E18" s="381"/>
      <c r="F18" s="381">
        <v>0</v>
      </c>
      <c r="G18" s="382">
        <v>0</v>
      </c>
      <c r="H18" s="427" t="e">
        <f t="shared" si="0"/>
        <v>#DIV/0!</v>
      </c>
    </row>
    <row r="19" spans="1:8" x14ac:dyDescent="0.3">
      <c r="A19" s="426">
        <v>12</v>
      </c>
      <c r="B19" s="194" t="s">
        <v>393</v>
      </c>
      <c r="C19" s="381">
        <v>0</v>
      </c>
      <c r="D19" s="381"/>
      <c r="E19" s="381"/>
      <c r="F19" s="381">
        <v>0</v>
      </c>
      <c r="G19" s="382">
        <v>0</v>
      </c>
      <c r="H19" s="427" t="e">
        <f t="shared" si="0"/>
        <v>#DIV/0!</v>
      </c>
    </row>
    <row r="20" spans="1:8" x14ac:dyDescent="0.3">
      <c r="A20" s="426">
        <v>13</v>
      </c>
      <c r="B20" s="194" t="s">
        <v>394</v>
      </c>
      <c r="C20" s="381">
        <v>0</v>
      </c>
      <c r="D20" s="381"/>
      <c r="E20" s="381"/>
      <c r="F20" s="381">
        <v>0</v>
      </c>
      <c r="G20" s="382">
        <v>0</v>
      </c>
      <c r="H20" s="427" t="e">
        <f t="shared" si="0"/>
        <v>#DIV/0!</v>
      </c>
    </row>
    <row r="21" spans="1:8" x14ac:dyDescent="0.3">
      <c r="A21" s="426">
        <v>14</v>
      </c>
      <c r="B21" s="194" t="s">
        <v>395</v>
      </c>
      <c r="C21" s="381">
        <v>26368213.081792615</v>
      </c>
      <c r="D21" s="381"/>
      <c r="E21" s="381"/>
      <c r="F21" s="381">
        <v>23837829.065792616</v>
      </c>
      <c r="G21" s="382">
        <v>23837829.065792616</v>
      </c>
      <c r="H21" s="427">
        <f t="shared" si="0"/>
        <v>0.90403657585173103</v>
      </c>
    </row>
    <row r="22" spans="1:8" ht="14.4" thickBot="1" x14ac:dyDescent="0.35">
      <c r="A22" s="428"/>
      <c r="B22" s="429" t="s">
        <v>54</v>
      </c>
      <c r="C22" s="386">
        <f>SUM(C8:C21)</f>
        <v>78718914.579237998</v>
      </c>
      <c r="D22" s="386">
        <f>SUM(D8:D21)</f>
        <v>3382067.87</v>
      </c>
      <c r="E22" s="386">
        <f>SUM(E8:E21)</f>
        <v>755104</v>
      </c>
      <c r="F22" s="386">
        <f>SUM(F8:F21)</f>
        <v>47707923.095233157</v>
      </c>
      <c r="G22" s="386">
        <f>SUM(G8:G21)</f>
        <v>47707923.095233157</v>
      </c>
      <c r="H22" s="430">
        <f>G22/(C22+E22)</f>
        <v>0.60029584445471218</v>
      </c>
    </row>
    <row r="24" spans="1:8" s="928" customFormat="1" x14ac:dyDescent="0.3">
      <c r="A24" s="897"/>
      <c r="B24" s="897"/>
      <c r="C24" s="933"/>
      <c r="D24" s="933"/>
      <c r="E24" s="933"/>
      <c r="F24" s="933"/>
      <c r="G24" s="933"/>
      <c r="H24" s="897"/>
    </row>
    <row r="28" spans="1:8" ht="10.5" customHeight="1" x14ac:dyDescent="0.3"/>
  </sheetData>
  <mergeCells count="5">
    <mergeCell ref="C6:C7"/>
    <mergeCell ref="D6:E6"/>
    <mergeCell ref="F6:F7"/>
    <mergeCell ref="G6:G7"/>
    <mergeCell ref="H6:H7"/>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C655-AFD6-40C6-94D8-9285A9E04304}">
  <dimension ref="A1:K29"/>
  <sheetViews>
    <sheetView zoomScale="115" zoomScaleNormal="115" workbookViewId="0">
      <pane xSplit="2" ySplit="6" topLeftCell="I16" activePane="bottomRight" state="frozen"/>
      <selection activeCell="D1" sqref="D1:D3"/>
      <selection pane="topRight" activeCell="D1" sqref="D1:D3"/>
      <selection pane="bottomLeft" activeCell="D1" sqref="D1:D3"/>
      <selection pane="bottomRight" activeCell="F23" sqref="F23:K25"/>
    </sheetView>
  </sheetViews>
  <sheetFormatPr defaultColWidth="9.109375" defaultRowHeight="13.8" x14ac:dyDescent="0.3"/>
  <cols>
    <col min="1" max="1" width="10.5546875" style="4" bestFit="1" customWidth="1"/>
    <col min="2" max="2" width="104.109375" style="4" customWidth="1"/>
    <col min="3" max="7" width="12.6640625" style="4" customWidth="1"/>
    <col min="8" max="8" width="14.77734375" style="4" customWidth="1"/>
    <col min="9" max="9" width="15" style="4" customWidth="1"/>
    <col min="10" max="10" width="12.6640625" style="4" customWidth="1"/>
    <col min="11" max="11" width="15" style="4" customWidth="1"/>
    <col min="12" max="16384" width="9.109375" style="4"/>
  </cols>
  <sheetData>
    <row r="1" spans="1:11" x14ac:dyDescent="0.3">
      <c r="A1" s="4" t="s">
        <v>0</v>
      </c>
      <c r="B1" s="4" t="s">
        <v>199</v>
      </c>
    </row>
    <row r="2" spans="1:11" x14ac:dyDescent="0.3">
      <c r="A2" s="4" t="s">
        <v>1</v>
      </c>
      <c r="B2" s="5">
        <f>'1. key ratios'!B2</f>
        <v>45016</v>
      </c>
    </row>
    <row r="3" spans="1:11" x14ac:dyDescent="0.3">
      <c r="B3" s="431"/>
    </row>
    <row r="4" spans="1:11" ht="14.4" thickBot="1" x14ac:dyDescent="0.35">
      <c r="A4" s="4" t="s">
        <v>429</v>
      </c>
      <c r="B4" s="179" t="s">
        <v>430</v>
      </c>
    </row>
    <row r="5" spans="1:11" ht="30" customHeight="1" x14ac:dyDescent="0.3">
      <c r="A5" s="432"/>
      <c r="B5" s="433"/>
      <c r="C5" s="434" t="s">
        <v>431</v>
      </c>
      <c r="D5" s="434"/>
      <c r="E5" s="434"/>
      <c r="F5" s="434" t="s">
        <v>432</v>
      </c>
      <c r="G5" s="434"/>
      <c r="H5" s="434"/>
      <c r="I5" s="434" t="s">
        <v>433</v>
      </c>
      <c r="J5" s="434"/>
      <c r="K5" s="435"/>
    </row>
    <row r="6" spans="1:11" x14ac:dyDescent="0.3">
      <c r="A6" s="436"/>
      <c r="B6" s="437"/>
      <c r="C6" s="424" t="s">
        <v>52</v>
      </c>
      <c r="D6" s="424" t="s">
        <v>434</v>
      </c>
      <c r="E6" s="424" t="s">
        <v>54</v>
      </c>
      <c r="F6" s="424" t="s">
        <v>52</v>
      </c>
      <c r="G6" s="424" t="s">
        <v>434</v>
      </c>
      <c r="H6" s="424" t="s">
        <v>54</v>
      </c>
      <c r="I6" s="424" t="s">
        <v>52</v>
      </c>
      <c r="J6" s="424" t="s">
        <v>434</v>
      </c>
      <c r="K6" s="438" t="s">
        <v>54</v>
      </c>
    </row>
    <row r="7" spans="1:11" x14ac:dyDescent="0.3">
      <c r="A7" s="439" t="s">
        <v>435</v>
      </c>
      <c r="B7" s="440"/>
      <c r="C7" s="440"/>
      <c r="D7" s="440"/>
      <c r="E7" s="440"/>
      <c r="F7" s="440"/>
      <c r="G7" s="440"/>
      <c r="H7" s="440"/>
      <c r="I7" s="440"/>
      <c r="J7" s="440"/>
      <c r="K7" s="441"/>
    </row>
    <row r="8" spans="1:11" x14ac:dyDescent="0.3">
      <c r="A8" s="442">
        <v>1</v>
      </c>
      <c r="B8" s="443" t="s">
        <v>435</v>
      </c>
      <c r="C8" s="22"/>
      <c r="D8" s="22"/>
      <c r="E8" s="22"/>
      <c r="F8" s="444">
        <v>27407130.523978498</v>
      </c>
      <c r="G8" s="444">
        <v>8660940.6899999995</v>
      </c>
      <c r="H8" s="444">
        <f>F8+G8</f>
        <v>36068071.213978499</v>
      </c>
      <c r="I8" s="444">
        <v>23059228.153978497</v>
      </c>
      <c r="J8" s="444">
        <v>2813488</v>
      </c>
      <c r="K8" s="445">
        <f>I8+J8</f>
        <v>25872716.153978497</v>
      </c>
    </row>
    <row r="9" spans="1:11" x14ac:dyDescent="0.3">
      <c r="A9" s="439" t="s">
        <v>436</v>
      </c>
      <c r="B9" s="440"/>
      <c r="C9" s="440"/>
      <c r="D9" s="440"/>
      <c r="E9" s="440"/>
      <c r="F9" s="446"/>
      <c r="G9" s="446"/>
      <c r="H9" s="446"/>
      <c r="I9" s="446"/>
      <c r="J9" s="446"/>
      <c r="K9" s="447"/>
    </row>
    <row r="10" spans="1:11" x14ac:dyDescent="0.3">
      <c r="A10" s="277">
        <v>2</v>
      </c>
      <c r="B10" s="448" t="s">
        <v>437</v>
      </c>
      <c r="C10" s="103">
        <v>846999.52999999991</v>
      </c>
      <c r="D10" s="449">
        <v>3575836.57</v>
      </c>
      <c r="E10" s="449">
        <f>C10+D10</f>
        <v>4422836.0999999996</v>
      </c>
      <c r="F10" s="449">
        <v>262106.90379999997</v>
      </c>
      <c r="G10" s="449">
        <v>1530847.7509999999</v>
      </c>
      <c r="H10" s="449">
        <f>F10+G10</f>
        <v>1792954.6547999999</v>
      </c>
      <c r="I10" s="449">
        <v>47743.780000000006</v>
      </c>
      <c r="J10" s="449">
        <v>186997.61399999997</v>
      </c>
      <c r="K10" s="450">
        <f>I10+J10</f>
        <v>234741.39399999997</v>
      </c>
    </row>
    <row r="11" spans="1:11" x14ac:dyDescent="0.3">
      <c r="A11" s="277">
        <v>3</v>
      </c>
      <c r="B11" s="448" t="s">
        <v>438</v>
      </c>
      <c r="C11" s="103">
        <v>9360229.7300000004</v>
      </c>
      <c r="D11" s="449">
        <v>10264759.530000001</v>
      </c>
      <c r="E11" s="449">
        <f t="shared" ref="E11:E16" si="0">C11+D11</f>
        <v>19624989.260000002</v>
      </c>
      <c r="F11" s="449">
        <v>3230379.3967499998</v>
      </c>
      <c r="G11" s="449">
        <v>3823155.9040000001</v>
      </c>
      <c r="H11" s="449">
        <f t="shared" ref="H11:H16" si="1">F11+G11</f>
        <v>7053535.3007500004</v>
      </c>
      <c r="I11" s="449">
        <v>2134301.9575000005</v>
      </c>
      <c r="J11" s="449">
        <v>2067777.5749999997</v>
      </c>
      <c r="K11" s="450">
        <f t="shared" ref="K11:K15" si="2">I11+J11</f>
        <v>4202079.5325000007</v>
      </c>
    </row>
    <row r="12" spans="1:11" x14ac:dyDescent="0.3">
      <c r="A12" s="277">
        <v>4</v>
      </c>
      <c r="B12" s="448" t="s">
        <v>439</v>
      </c>
      <c r="C12" s="103">
        <v>10553356.92</v>
      </c>
      <c r="D12" s="449">
        <v>0</v>
      </c>
      <c r="E12" s="449">
        <f t="shared" si="0"/>
        <v>10553356.92</v>
      </c>
      <c r="F12" s="449">
        <v>0</v>
      </c>
      <c r="G12" s="449">
        <v>0</v>
      </c>
      <c r="H12" s="449">
        <f t="shared" si="1"/>
        <v>0</v>
      </c>
      <c r="I12" s="449">
        <v>0</v>
      </c>
      <c r="J12" s="449">
        <v>0</v>
      </c>
      <c r="K12" s="450">
        <f t="shared" si="2"/>
        <v>0</v>
      </c>
    </row>
    <row r="13" spans="1:11" x14ac:dyDescent="0.3">
      <c r="A13" s="277">
        <v>5</v>
      </c>
      <c r="B13" s="448" t="s">
        <v>440</v>
      </c>
      <c r="C13" s="103">
        <v>834112.76</v>
      </c>
      <c r="D13" s="449">
        <v>582174.52</v>
      </c>
      <c r="E13" s="449">
        <f t="shared" si="0"/>
        <v>1416287.28</v>
      </c>
      <c r="F13" s="449">
        <v>573042.86249999993</v>
      </c>
      <c r="G13" s="449">
        <v>55635.048999999999</v>
      </c>
      <c r="H13" s="449">
        <f t="shared" si="1"/>
        <v>628677.91149999993</v>
      </c>
      <c r="I13" s="449">
        <v>42470.484499999999</v>
      </c>
      <c r="J13" s="449">
        <v>233667.7175</v>
      </c>
      <c r="K13" s="450">
        <f t="shared" si="2"/>
        <v>276138.20199999999</v>
      </c>
    </row>
    <row r="14" spans="1:11" x14ac:dyDescent="0.3">
      <c r="A14" s="277">
        <v>6</v>
      </c>
      <c r="B14" s="448" t="s">
        <v>441</v>
      </c>
      <c r="C14" s="103">
        <v>0</v>
      </c>
      <c r="D14" s="449">
        <v>0</v>
      </c>
      <c r="E14" s="449">
        <f t="shared" si="0"/>
        <v>0</v>
      </c>
      <c r="F14" s="449">
        <v>0</v>
      </c>
      <c r="G14" s="449">
        <v>0</v>
      </c>
      <c r="H14" s="449">
        <f t="shared" si="1"/>
        <v>0</v>
      </c>
      <c r="I14" s="449">
        <v>0</v>
      </c>
      <c r="J14" s="449">
        <v>0</v>
      </c>
      <c r="K14" s="450">
        <f t="shared" si="2"/>
        <v>0</v>
      </c>
    </row>
    <row r="15" spans="1:11" x14ac:dyDescent="0.3">
      <c r="A15" s="277">
        <v>7</v>
      </c>
      <c r="B15" s="448" t="s">
        <v>442</v>
      </c>
      <c r="C15" s="103">
        <v>4306909.49</v>
      </c>
      <c r="D15" s="449">
        <v>756089.55</v>
      </c>
      <c r="E15" s="449">
        <f t="shared" si="0"/>
        <v>5062999.04</v>
      </c>
      <c r="F15" s="449">
        <v>3816756.74</v>
      </c>
      <c r="G15" s="449">
        <v>741356.81</v>
      </c>
      <c r="H15" s="449">
        <f t="shared" si="1"/>
        <v>4558113.5500000007</v>
      </c>
      <c r="I15" s="449">
        <v>3816756.74</v>
      </c>
      <c r="J15" s="449">
        <v>741356.81</v>
      </c>
      <c r="K15" s="450">
        <f t="shared" si="2"/>
        <v>4558113.5500000007</v>
      </c>
    </row>
    <row r="16" spans="1:11" x14ac:dyDescent="0.3">
      <c r="A16" s="277">
        <v>8</v>
      </c>
      <c r="B16" s="451" t="s">
        <v>443</v>
      </c>
      <c r="C16" s="103">
        <f>SUM(C10:C15)</f>
        <v>25901608.43</v>
      </c>
      <c r="D16" s="103">
        <f>SUM(D10:D15)</f>
        <v>15178860.170000002</v>
      </c>
      <c r="E16" s="449">
        <f t="shared" si="0"/>
        <v>41080468.600000001</v>
      </c>
      <c r="F16" s="449">
        <f>SUM(F10:F15)</f>
        <v>7882285.9030499998</v>
      </c>
      <c r="G16" s="449">
        <f>SUM(G10:G15)</f>
        <v>6150995.5140000004</v>
      </c>
      <c r="H16" s="449">
        <f t="shared" si="1"/>
        <v>14033281.41705</v>
      </c>
      <c r="I16" s="449">
        <f>SUM(I10:I15)</f>
        <v>6041272.9620000003</v>
      </c>
      <c r="J16" s="449">
        <f t="shared" ref="J16:K16" si="3">SUM(J10:J15)</f>
        <v>3229799.7164999996</v>
      </c>
      <c r="K16" s="450">
        <f t="shared" si="3"/>
        <v>9271072.6785000004</v>
      </c>
    </row>
    <row r="17" spans="1:11" x14ac:dyDescent="0.3">
      <c r="A17" s="439" t="s">
        <v>444</v>
      </c>
      <c r="B17" s="440"/>
      <c r="C17" s="452"/>
      <c r="D17" s="452"/>
      <c r="E17" s="452"/>
      <c r="F17" s="446"/>
      <c r="G17" s="446"/>
      <c r="H17" s="446"/>
      <c r="I17" s="446"/>
      <c r="J17" s="446"/>
      <c r="K17" s="447"/>
    </row>
    <row r="18" spans="1:11" x14ac:dyDescent="0.3">
      <c r="A18" s="277">
        <v>9</v>
      </c>
      <c r="B18" s="448" t="s">
        <v>445</v>
      </c>
      <c r="C18" s="453">
        <v>0</v>
      </c>
      <c r="D18" s="454">
        <v>0</v>
      </c>
      <c r="E18" s="454">
        <f>C18+D18</f>
        <v>0</v>
      </c>
      <c r="F18" s="449">
        <v>0</v>
      </c>
      <c r="G18" s="449">
        <v>0</v>
      </c>
      <c r="H18" s="449">
        <f>F18+G18</f>
        <v>0</v>
      </c>
      <c r="I18" s="449">
        <v>0</v>
      </c>
      <c r="J18" s="449">
        <v>0</v>
      </c>
      <c r="K18" s="450">
        <f>I18+J18</f>
        <v>0</v>
      </c>
    </row>
    <row r="19" spans="1:11" x14ac:dyDescent="0.3">
      <c r="A19" s="277">
        <v>10</v>
      </c>
      <c r="B19" s="448" t="s">
        <v>446</v>
      </c>
      <c r="C19" s="103">
        <v>14967788.960000001</v>
      </c>
      <c r="D19" s="449">
        <v>12996985.4</v>
      </c>
      <c r="E19" s="449">
        <f t="shared" ref="E19:E20" si="4">C19+D19</f>
        <v>27964774.359999999</v>
      </c>
      <c r="F19" s="449">
        <v>180049.76499999998</v>
      </c>
      <c r="G19" s="449">
        <v>122955.09</v>
      </c>
      <c r="H19" s="449">
        <f t="shared" ref="H19:H21" si="5">F19+G19</f>
        <v>303004.85499999998</v>
      </c>
      <c r="I19" s="449">
        <v>4527952.1349999998</v>
      </c>
      <c r="J19" s="449">
        <v>6284767.2200000007</v>
      </c>
      <c r="K19" s="450">
        <f t="shared" ref="K19:K20" si="6">I19+J19</f>
        <v>10812719.355</v>
      </c>
    </row>
    <row r="20" spans="1:11" x14ac:dyDescent="0.3">
      <c r="A20" s="277">
        <v>11</v>
      </c>
      <c r="B20" s="448" t="s">
        <v>447</v>
      </c>
      <c r="C20" s="103">
        <v>10025467.437999999</v>
      </c>
      <c r="D20" s="449">
        <v>2838056.79</v>
      </c>
      <c r="E20" s="449">
        <f t="shared" si="4"/>
        <v>12863524.228</v>
      </c>
      <c r="F20" s="449">
        <v>1600042.67</v>
      </c>
      <c r="G20" s="449">
        <v>0</v>
      </c>
      <c r="H20" s="449">
        <f t="shared" si="5"/>
        <v>1600042.67</v>
      </c>
      <c r="I20" s="449">
        <v>1600042.67</v>
      </c>
      <c r="J20" s="449">
        <v>0</v>
      </c>
      <c r="K20" s="450">
        <f t="shared" si="6"/>
        <v>1600042.67</v>
      </c>
    </row>
    <row r="21" spans="1:11" ht="14.4" thickBot="1" x14ac:dyDescent="0.35">
      <c r="A21" s="455">
        <v>12</v>
      </c>
      <c r="B21" s="456" t="s">
        <v>448</v>
      </c>
      <c r="C21" s="457">
        <f>SUM(C18:C20)</f>
        <v>24993256.398000002</v>
      </c>
      <c r="D21" s="457">
        <f>SUM(D18:D20)</f>
        <v>15835042.190000001</v>
      </c>
      <c r="E21" s="457">
        <f>SUM(E18:E20)</f>
        <v>40828298.588</v>
      </c>
      <c r="F21" s="458">
        <f>SUM(F18:F20)</f>
        <v>1780092.4349999998</v>
      </c>
      <c r="G21" s="458">
        <f>SUM(G18:G20)</f>
        <v>122955.09</v>
      </c>
      <c r="H21" s="449">
        <f t="shared" si="5"/>
        <v>1903047.5249999999</v>
      </c>
      <c r="I21" s="458">
        <f>SUM(I18:I20)</f>
        <v>6127994.8049999997</v>
      </c>
      <c r="J21" s="458">
        <f t="shared" ref="J21:K21" si="7">SUM(J18:J20)</f>
        <v>6284767.2200000007</v>
      </c>
      <c r="K21" s="459">
        <f t="shared" si="7"/>
        <v>12412762.025</v>
      </c>
    </row>
    <row r="22" spans="1:11" ht="38.25" customHeight="1" thickBot="1" x14ac:dyDescent="0.35">
      <c r="A22" s="460"/>
      <c r="B22" s="461"/>
      <c r="C22" s="461"/>
      <c r="D22" s="461"/>
      <c r="E22" s="461"/>
      <c r="F22" s="462" t="s">
        <v>449</v>
      </c>
      <c r="G22" s="434"/>
      <c r="H22" s="434"/>
      <c r="I22" s="462" t="s">
        <v>450</v>
      </c>
      <c r="J22" s="434"/>
      <c r="K22" s="435"/>
    </row>
    <row r="23" spans="1:11" x14ac:dyDescent="0.3">
      <c r="A23" s="463">
        <v>13</v>
      </c>
      <c r="B23" s="464" t="s">
        <v>435</v>
      </c>
      <c r="C23" s="465"/>
      <c r="D23" s="466"/>
      <c r="E23" s="466"/>
      <c r="F23" s="467">
        <f>F8</f>
        <v>27407130.523978498</v>
      </c>
      <c r="G23" s="467">
        <f t="shared" ref="G23:K23" si="8">G8</f>
        <v>8660940.6899999995</v>
      </c>
      <c r="H23" s="467">
        <f t="shared" si="8"/>
        <v>36068071.213978499</v>
      </c>
      <c r="I23" s="468">
        <f t="shared" si="8"/>
        <v>23059228.153978497</v>
      </c>
      <c r="J23" s="468">
        <f t="shared" si="8"/>
        <v>2813488</v>
      </c>
      <c r="K23" s="469">
        <f t="shared" si="8"/>
        <v>25872716.153978497</v>
      </c>
    </row>
    <row r="24" spans="1:11" ht="14.4" thickBot="1" x14ac:dyDescent="0.35">
      <c r="A24" s="470">
        <v>14</v>
      </c>
      <c r="B24" s="471" t="s">
        <v>451</v>
      </c>
      <c r="C24" s="472"/>
      <c r="D24" s="473"/>
      <c r="E24" s="474"/>
      <c r="F24" s="475">
        <f>MAX(F16-F21,F16*0.25)</f>
        <v>6102193.4680500003</v>
      </c>
      <c r="G24" s="475">
        <f t="shared" ref="G24:H24" si="9">MAX(G16-G21,G16*0.25)</f>
        <v>6028040.4240000006</v>
      </c>
      <c r="H24" s="475">
        <f t="shared" si="9"/>
        <v>12130233.89205</v>
      </c>
      <c r="I24" s="476">
        <f>MAX(I16-I21,I16*0.25)</f>
        <v>1510318.2405000001</v>
      </c>
      <c r="J24" s="476">
        <f t="shared" ref="J24:K24" si="10">MAX(J16-J21,J16*0.25)</f>
        <v>807449.92912499991</v>
      </c>
      <c r="K24" s="477">
        <f t="shared" si="10"/>
        <v>2317768.1696250001</v>
      </c>
    </row>
    <row r="25" spans="1:11" ht="14.4" thickBot="1" x14ac:dyDescent="0.35">
      <c r="A25" s="478">
        <v>15</v>
      </c>
      <c r="B25" s="479" t="s">
        <v>42</v>
      </c>
      <c r="C25" s="480"/>
      <c r="D25" s="481"/>
      <c r="E25" s="481"/>
      <c r="F25" s="482">
        <f t="shared" ref="F25:K25" si="11">IFERROR(F23/F24,0)</f>
        <v>4.4913571927008471</v>
      </c>
      <c r="G25" s="482">
        <f t="shared" si="11"/>
        <v>1.4367754827119916</v>
      </c>
      <c r="H25" s="482">
        <f t="shared" si="11"/>
        <v>2.9734027830755227</v>
      </c>
      <c r="I25" s="482">
        <f t="shared" si="11"/>
        <v>15.267794253974314</v>
      </c>
      <c r="J25" s="482">
        <f t="shared" si="11"/>
        <v>3.4844117245125781</v>
      </c>
      <c r="K25" s="483">
        <f t="shared" si="11"/>
        <v>11.162771364732537</v>
      </c>
    </row>
    <row r="28" spans="1:11" ht="41.4" x14ac:dyDescent="0.3">
      <c r="B28" s="79" t="s">
        <v>452</v>
      </c>
    </row>
    <row r="29" spans="1:11" x14ac:dyDescent="0.3">
      <c r="F29" s="484"/>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EA86-212A-4974-A5F5-3A2C39AB09CE}">
  <dimension ref="A1:AA23"/>
  <sheetViews>
    <sheetView workbookViewId="0">
      <pane xSplit="1" ySplit="5" topLeftCell="B6" activePane="bottomRight" state="frozen"/>
      <selection activeCell="D1" sqref="D1:D3"/>
      <selection pane="topRight" activeCell="D1" sqref="D1:D3"/>
      <selection pane="bottomLeft" activeCell="D1" sqref="D1:D3"/>
      <selection pane="bottomRight" activeCell="C8" sqref="C8"/>
    </sheetView>
  </sheetViews>
  <sheetFormatPr defaultColWidth="9.109375" defaultRowHeight="13.8" x14ac:dyDescent="0.3"/>
  <cols>
    <col min="1" max="1" width="10.5546875" style="323" bestFit="1" customWidth="1"/>
    <col min="2" max="2" width="95" style="323" customWidth="1"/>
    <col min="3" max="3" width="12.5546875" style="323" bestFit="1" customWidth="1"/>
    <col min="4" max="4" width="10" style="323" bestFit="1" customWidth="1"/>
    <col min="5" max="5" width="18.33203125" style="323" bestFit="1" customWidth="1"/>
    <col min="6" max="13" width="10.6640625" style="323" customWidth="1"/>
    <col min="14" max="14" width="31" style="323" bestFit="1" customWidth="1"/>
    <col min="15" max="16384" width="9.109375" style="224"/>
  </cols>
  <sheetData>
    <row r="1" spans="1:27" x14ac:dyDescent="0.3">
      <c r="A1" s="4" t="s">
        <v>0</v>
      </c>
      <c r="B1" s="323" t="s">
        <v>199</v>
      </c>
    </row>
    <row r="2" spans="1:27" ht="14.25" customHeight="1" x14ac:dyDescent="0.3">
      <c r="A2" s="323" t="s">
        <v>1</v>
      </c>
      <c r="B2" s="5">
        <f>'1. key ratios'!B2</f>
        <v>45016</v>
      </c>
    </row>
    <row r="3" spans="1:27" ht="14.25" customHeight="1" x14ac:dyDescent="0.3"/>
    <row r="4" spans="1:27" ht="14.4" thickBot="1" x14ac:dyDescent="0.35">
      <c r="A4" s="4" t="s">
        <v>453</v>
      </c>
      <c r="B4" s="485" t="s">
        <v>298</v>
      </c>
    </row>
    <row r="5" spans="1:27" s="490" customFormat="1" x14ac:dyDescent="0.3">
      <c r="A5" s="486"/>
      <c r="B5" s="487"/>
      <c r="C5" s="488" t="s">
        <v>304</v>
      </c>
      <c r="D5" s="488" t="s">
        <v>305</v>
      </c>
      <c r="E5" s="488" t="s">
        <v>306</v>
      </c>
      <c r="F5" s="488" t="s">
        <v>364</v>
      </c>
      <c r="G5" s="488" t="s">
        <v>365</v>
      </c>
      <c r="H5" s="488" t="s">
        <v>366</v>
      </c>
      <c r="I5" s="488" t="s">
        <v>367</v>
      </c>
      <c r="J5" s="488" t="s">
        <v>368</v>
      </c>
      <c r="K5" s="488" t="s">
        <v>369</v>
      </c>
      <c r="L5" s="488" t="s">
        <v>370</v>
      </c>
      <c r="M5" s="488" t="s">
        <v>371</v>
      </c>
      <c r="N5" s="489" t="s">
        <v>372</v>
      </c>
    </row>
    <row r="6" spans="1:27" ht="41.4" x14ac:dyDescent="0.3">
      <c r="A6" s="491"/>
      <c r="B6" s="492"/>
      <c r="C6" s="493" t="s">
        <v>454</v>
      </c>
      <c r="D6" s="494" t="s">
        <v>455</v>
      </c>
      <c r="E6" s="495" t="s">
        <v>456</v>
      </c>
      <c r="F6" s="496">
        <v>0</v>
      </c>
      <c r="G6" s="496">
        <v>0.2</v>
      </c>
      <c r="H6" s="496">
        <v>0.35</v>
      </c>
      <c r="I6" s="496">
        <v>0.5</v>
      </c>
      <c r="J6" s="496">
        <v>0.75</v>
      </c>
      <c r="K6" s="496">
        <v>1</v>
      </c>
      <c r="L6" s="496">
        <v>1.5</v>
      </c>
      <c r="M6" s="496">
        <v>2.5</v>
      </c>
      <c r="N6" s="497" t="s">
        <v>298</v>
      </c>
    </row>
    <row r="7" spans="1:27" x14ac:dyDescent="0.3">
      <c r="A7" s="498">
        <v>1</v>
      </c>
      <c r="B7" s="499" t="s">
        <v>457</v>
      </c>
      <c r="C7" s="500">
        <f>SUM(C8:C13)</f>
        <v>10528720</v>
      </c>
      <c r="D7" s="492"/>
      <c r="E7" s="501">
        <f t="shared" ref="E7:M7" si="0">SUM(E8:E13)</f>
        <v>210574.4</v>
      </c>
      <c r="F7" s="500">
        <f>SUM(F8:F13)</f>
        <v>0</v>
      </c>
      <c r="G7" s="500">
        <f t="shared" si="0"/>
        <v>0</v>
      </c>
      <c r="H7" s="500">
        <f t="shared" si="0"/>
        <v>0</v>
      </c>
      <c r="I7" s="500">
        <f t="shared" si="0"/>
        <v>0</v>
      </c>
      <c r="J7" s="500">
        <f t="shared" si="0"/>
        <v>0</v>
      </c>
      <c r="K7" s="500">
        <f t="shared" si="0"/>
        <v>210574.4</v>
      </c>
      <c r="L7" s="500">
        <f t="shared" si="0"/>
        <v>0</v>
      </c>
      <c r="M7" s="500">
        <f t="shared" si="0"/>
        <v>0</v>
      </c>
      <c r="N7" s="502">
        <f>SUM(N8:N13)</f>
        <v>210574.4</v>
      </c>
      <c r="P7" s="236">
        <v>0</v>
      </c>
      <c r="Q7" s="236">
        <v>0</v>
      </c>
      <c r="R7" s="236">
        <v>0</v>
      </c>
      <c r="S7" s="236">
        <v>0</v>
      </c>
      <c r="T7" s="236">
        <v>0</v>
      </c>
      <c r="U7" s="236">
        <v>0</v>
      </c>
      <c r="V7" s="236">
        <v>0</v>
      </c>
      <c r="W7" s="236">
        <v>0</v>
      </c>
      <c r="X7" s="236">
        <v>0</v>
      </c>
      <c r="Y7" s="236">
        <v>0</v>
      </c>
      <c r="Z7" s="236">
        <v>0</v>
      </c>
      <c r="AA7" s="236">
        <v>0</v>
      </c>
    </row>
    <row r="8" spans="1:27" x14ac:dyDescent="0.3">
      <c r="A8" s="498">
        <v>1.1000000000000001</v>
      </c>
      <c r="B8" s="503" t="s">
        <v>458</v>
      </c>
      <c r="C8" s="504">
        <f>'4. Off-balance'!E32</f>
        <v>10528720</v>
      </c>
      <c r="D8" s="505">
        <v>0.02</v>
      </c>
      <c r="E8" s="501">
        <f>C8*D8</f>
        <v>210574.4</v>
      </c>
      <c r="F8" s="504"/>
      <c r="G8" s="504"/>
      <c r="H8" s="504"/>
      <c r="I8" s="504"/>
      <c r="J8" s="504"/>
      <c r="K8" s="504">
        <f>E8</f>
        <v>210574.4</v>
      </c>
      <c r="L8" s="504"/>
      <c r="M8" s="504"/>
      <c r="N8" s="502">
        <f>SUMPRODUCT($F$6:$M$6,F8:M8)</f>
        <v>210574.4</v>
      </c>
      <c r="P8" s="236">
        <v>0</v>
      </c>
      <c r="Q8" s="236">
        <v>0</v>
      </c>
      <c r="R8" s="236">
        <v>0</v>
      </c>
      <c r="S8" s="236">
        <v>0</v>
      </c>
      <c r="T8" s="236">
        <v>0</v>
      </c>
      <c r="U8" s="236">
        <v>0</v>
      </c>
      <c r="V8" s="236">
        <v>0</v>
      </c>
      <c r="W8" s="236">
        <v>0</v>
      </c>
      <c r="X8" s="236">
        <v>0</v>
      </c>
      <c r="Y8" s="236">
        <v>0</v>
      </c>
      <c r="Z8" s="236">
        <v>0</v>
      </c>
      <c r="AA8" s="236">
        <v>0</v>
      </c>
    </row>
    <row r="9" spans="1:27" x14ac:dyDescent="0.3">
      <c r="A9" s="498">
        <v>1.2</v>
      </c>
      <c r="B9" s="503" t="s">
        <v>459</v>
      </c>
      <c r="C9" s="504">
        <v>0</v>
      </c>
      <c r="D9" s="505">
        <v>0.05</v>
      </c>
      <c r="E9" s="501">
        <f>C9*D9</f>
        <v>0</v>
      </c>
      <c r="F9" s="504"/>
      <c r="G9" s="504"/>
      <c r="H9" s="504"/>
      <c r="I9" s="504"/>
      <c r="J9" s="504"/>
      <c r="K9" s="504"/>
      <c r="L9" s="504"/>
      <c r="M9" s="504"/>
      <c r="N9" s="502">
        <f t="shared" ref="N9:N12" si="1">SUMPRODUCT($F$6:$M$6,F9:M9)</f>
        <v>0</v>
      </c>
      <c r="P9" s="236">
        <v>0</v>
      </c>
      <c r="Q9" s="236">
        <v>0</v>
      </c>
      <c r="R9" s="236">
        <v>0</v>
      </c>
      <c r="S9" s="236">
        <v>0</v>
      </c>
      <c r="T9" s="236">
        <v>0</v>
      </c>
      <c r="U9" s="236">
        <v>0</v>
      </c>
      <c r="V9" s="236">
        <v>0</v>
      </c>
      <c r="W9" s="236">
        <v>0</v>
      </c>
      <c r="X9" s="236">
        <v>0</v>
      </c>
      <c r="Y9" s="236">
        <v>0</v>
      </c>
      <c r="Z9" s="236">
        <v>0</v>
      </c>
      <c r="AA9" s="236">
        <v>0</v>
      </c>
    </row>
    <row r="10" spans="1:27" x14ac:dyDescent="0.3">
      <c r="A10" s="498">
        <v>1.3</v>
      </c>
      <c r="B10" s="503" t="s">
        <v>460</v>
      </c>
      <c r="C10" s="504">
        <v>0</v>
      </c>
      <c r="D10" s="505">
        <v>0.08</v>
      </c>
      <c r="E10" s="501">
        <f>C10*D10</f>
        <v>0</v>
      </c>
      <c r="F10" s="504"/>
      <c r="G10" s="504"/>
      <c r="H10" s="504"/>
      <c r="I10" s="504"/>
      <c r="J10" s="504"/>
      <c r="K10" s="504"/>
      <c r="L10" s="504"/>
      <c r="M10" s="504"/>
      <c r="N10" s="502">
        <f>SUMPRODUCT($F$6:$M$6,F10:M10)</f>
        <v>0</v>
      </c>
      <c r="P10" s="236">
        <v>0</v>
      </c>
      <c r="Q10" s="236">
        <v>0</v>
      </c>
      <c r="R10" s="236">
        <v>0</v>
      </c>
      <c r="S10" s="236">
        <v>0</v>
      </c>
      <c r="T10" s="236">
        <v>0</v>
      </c>
      <c r="U10" s="236">
        <v>0</v>
      </c>
      <c r="V10" s="236">
        <v>0</v>
      </c>
      <c r="W10" s="236">
        <v>0</v>
      </c>
      <c r="X10" s="236">
        <v>0</v>
      </c>
      <c r="Y10" s="236">
        <v>0</v>
      </c>
      <c r="Z10" s="236">
        <v>0</v>
      </c>
      <c r="AA10" s="236">
        <v>0</v>
      </c>
    </row>
    <row r="11" spans="1:27" x14ac:dyDescent="0.3">
      <c r="A11" s="498">
        <v>1.4</v>
      </c>
      <c r="B11" s="503" t="s">
        <v>461</v>
      </c>
      <c r="C11" s="504">
        <v>0</v>
      </c>
      <c r="D11" s="505">
        <v>0.11</v>
      </c>
      <c r="E11" s="501">
        <f>C11*D11</f>
        <v>0</v>
      </c>
      <c r="F11" s="504"/>
      <c r="G11" s="504"/>
      <c r="H11" s="504"/>
      <c r="I11" s="504"/>
      <c r="J11" s="504"/>
      <c r="K11" s="504"/>
      <c r="L11" s="504"/>
      <c r="M11" s="504"/>
      <c r="N11" s="502">
        <f t="shared" si="1"/>
        <v>0</v>
      </c>
      <c r="P11" s="236">
        <v>0</v>
      </c>
      <c r="Q11" s="236">
        <v>0</v>
      </c>
      <c r="R11" s="236">
        <v>0</v>
      </c>
      <c r="S11" s="236">
        <v>0</v>
      </c>
      <c r="T11" s="236">
        <v>0</v>
      </c>
      <c r="U11" s="236">
        <v>0</v>
      </c>
      <c r="V11" s="236">
        <v>0</v>
      </c>
      <c r="W11" s="236">
        <v>0</v>
      </c>
      <c r="X11" s="236">
        <v>0</v>
      </c>
      <c r="Y11" s="236">
        <v>0</v>
      </c>
      <c r="Z11" s="236">
        <v>0</v>
      </c>
      <c r="AA11" s="236">
        <v>0</v>
      </c>
    </row>
    <row r="12" spans="1:27" x14ac:dyDescent="0.3">
      <c r="A12" s="498">
        <v>1.5</v>
      </c>
      <c r="B12" s="503" t="s">
        <v>462</v>
      </c>
      <c r="C12" s="504">
        <v>0</v>
      </c>
      <c r="D12" s="505">
        <v>0.14000000000000001</v>
      </c>
      <c r="E12" s="501">
        <f>C12*D12</f>
        <v>0</v>
      </c>
      <c r="F12" s="504"/>
      <c r="G12" s="504"/>
      <c r="H12" s="504"/>
      <c r="I12" s="504"/>
      <c r="J12" s="504"/>
      <c r="K12" s="504"/>
      <c r="L12" s="504"/>
      <c r="M12" s="504"/>
      <c r="N12" s="502">
        <f t="shared" si="1"/>
        <v>0</v>
      </c>
      <c r="P12" s="236">
        <v>0</v>
      </c>
      <c r="Q12" s="236">
        <v>0</v>
      </c>
      <c r="R12" s="236">
        <v>0</v>
      </c>
      <c r="S12" s="236">
        <v>0</v>
      </c>
      <c r="T12" s="236">
        <v>0</v>
      </c>
      <c r="U12" s="236">
        <v>0</v>
      </c>
      <c r="V12" s="236">
        <v>0</v>
      </c>
      <c r="W12" s="236">
        <v>0</v>
      </c>
      <c r="X12" s="236">
        <v>0</v>
      </c>
      <c r="Y12" s="236">
        <v>0</v>
      </c>
      <c r="Z12" s="236">
        <v>0</v>
      </c>
      <c r="AA12" s="236">
        <v>0</v>
      </c>
    </row>
    <row r="13" spans="1:27" x14ac:dyDescent="0.3">
      <c r="A13" s="498">
        <v>1.6</v>
      </c>
      <c r="B13" s="506" t="s">
        <v>463</v>
      </c>
      <c r="C13" s="504">
        <v>0</v>
      </c>
      <c r="D13" s="507"/>
      <c r="E13" s="504"/>
      <c r="F13" s="504"/>
      <c r="G13" s="504"/>
      <c r="H13" s="504"/>
      <c r="I13" s="504"/>
      <c r="J13" s="504"/>
      <c r="K13" s="504"/>
      <c r="L13" s="504"/>
      <c r="M13" s="504"/>
      <c r="N13" s="502">
        <f>SUMPRODUCT($F$6:$M$6,F13:M13)</f>
        <v>0</v>
      </c>
      <c r="P13" s="236">
        <v>0</v>
      </c>
      <c r="Q13" s="236">
        <v>0</v>
      </c>
      <c r="R13" s="236">
        <v>0</v>
      </c>
      <c r="S13" s="236">
        <v>0</v>
      </c>
      <c r="T13" s="236">
        <v>0</v>
      </c>
      <c r="U13" s="236">
        <v>0</v>
      </c>
      <c r="V13" s="236">
        <v>0</v>
      </c>
      <c r="W13" s="236">
        <v>0</v>
      </c>
      <c r="X13" s="236">
        <v>0</v>
      </c>
      <c r="Y13" s="236">
        <v>0</v>
      </c>
      <c r="Z13" s="236">
        <v>0</v>
      </c>
      <c r="AA13" s="236">
        <v>0</v>
      </c>
    </row>
    <row r="14" spans="1:27" x14ac:dyDescent="0.3">
      <c r="A14" s="498">
        <v>2</v>
      </c>
      <c r="B14" s="508" t="s">
        <v>464</v>
      </c>
      <c r="C14" s="500">
        <f>SUM(C15:C20)</f>
        <v>0</v>
      </c>
      <c r="D14" s="492"/>
      <c r="E14" s="501">
        <f t="shared" ref="E14:M14" si="2">SUM(E15:E20)</f>
        <v>0</v>
      </c>
      <c r="F14" s="504">
        <f t="shared" si="2"/>
        <v>0</v>
      </c>
      <c r="G14" s="504">
        <f t="shared" si="2"/>
        <v>0</v>
      </c>
      <c r="H14" s="504">
        <f t="shared" si="2"/>
        <v>0</v>
      </c>
      <c r="I14" s="504">
        <f t="shared" si="2"/>
        <v>0</v>
      </c>
      <c r="J14" s="504">
        <f t="shared" si="2"/>
        <v>0</v>
      </c>
      <c r="K14" s="504">
        <f t="shared" si="2"/>
        <v>0</v>
      </c>
      <c r="L14" s="504">
        <f t="shared" si="2"/>
        <v>0</v>
      </c>
      <c r="M14" s="504">
        <f t="shared" si="2"/>
        <v>0</v>
      </c>
      <c r="N14" s="502">
        <f>SUM(N15:N20)</f>
        <v>0</v>
      </c>
      <c r="P14" s="236">
        <v>0</v>
      </c>
      <c r="Q14" s="236">
        <v>0</v>
      </c>
      <c r="R14" s="236">
        <v>0</v>
      </c>
      <c r="S14" s="236">
        <v>0</v>
      </c>
      <c r="T14" s="236">
        <v>0</v>
      </c>
      <c r="U14" s="236">
        <v>0</v>
      </c>
      <c r="V14" s="236">
        <v>0</v>
      </c>
      <c r="W14" s="236">
        <v>0</v>
      </c>
      <c r="X14" s="236">
        <v>0</v>
      </c>
      <c r="Y14" s="236">
        <v>0</v>
      </c>
      <c r="Z14" s="236">
        <v>0</v>
      </c>
      <c r="AA14" s="236">
        <v>0</v>
      </c>
    </row>
    <row r="15" spans="1:27" x14ac:dyDescent="0.3">
      <c r="A15" s="498">
        <v>2.1</v>
      </c>
      <c r="B15" s="506" t="s">
        <v>458</v>
      </c>
      <c r="C15" s="504"/>
      <c r="D15" s="505">
        <v>5.0000000000000001E-3</v>
      </c>
      <c r="E15" s="501">
        <f>C15*D15</f>
        <v>0</v>
      </c>
      <c r="F15" s="504"/>
      <c r="G15" s="504"/>
      <c r="H15" s="504"/>
      <c r="I15" s="504"/>
      <c r="J15" s="504"/>
      <c r="K15" s="504"/>
      <c r="L15" s="504"/>
      <c r="M15" s="504"/>
      <c r="N15" s="502">
        <f>SUMPRODUCT($F$6:$M$6,F15:M15)</f>
        <v>0</v>
      </c>
      <c r="P15" s="236">
        <v>0</v>
      </c>
      <c r="Q15" s="236">
        <v>0</v>
      </c>
      <c r="R15" s="236">
        <v>0</v>
      </c>
      <c r="S15" s="236">
        <v>0</v>
      </c>
      <c r="T15" s="236">
        <v>0</v>
      </c>
      <c r="U15" s="236">
        <v>0</v>
      </c>
      <c r="V15" s="236">
        <v>0</v>
      </c>
      <c r="W15" s="236">
        <v>0</v>
      </c>
      <c r="X15" s="236">
        <v>0</v>
      </c>
      <c r="Y15" s="236">
        <v>0</v>
      </c>
      <c r="Z15" s="236">
        <v>0</v>
      </c>
      <c r="AA15" s="236">
        <v>0</v>
      </c>
    </row>
    <row r="16" spans="1:27" x14ac:dyDescent="0.3">
      <c r="A16" s="498">
        <v>2.2000000000000002</v>
      </c>
      <c r="B16" s="506" t="s">
        <v>459</v>
      </c>
      <c r="C16" s="504"/>
      <c r="D16" s="505">
        <v>0.01</v>
      </c>
      <c r="E16" s="501">
        <f>C16*D16</f>
        <v>0</v>
      </c>
      <c r="F16" s="504"/>
      <c r="G16" s="504"/>
      <c r="H16" s="504"/>
      <c r="I16" s="504"/>
      <c r="J16" s="504"/>
      <c r="K16" s="504"/>
      <c r="L16" s="504"/>
      <c r="M16" s="504"/>
      <c r="N16" s="502">
        <f t="shared" ref="N16:N20" si="3">SUMPRODUCT($F$6:$M$6,F16:M16)</f>
        <v>0</v>
      </c>
      <c r="P16" s="236">
        <v>0</v>
      </c>
      <c r="Q16" s="236">
        <v>0</v>
      </c>
      <c r="R16" s="236">
        <v>0</v>
      </c>
      <c r="S16" s="236">
        <v>0</v>
      </c>
      <c r="T16" s="236">
        <v>0</v>
      </c>
      <c r="U16" s="236">
        <v>0</v>
      </c>
      <c r="V16" s="236">
        <v>0</v>
      </c>
      <c r="W16" s="236">
        <v>0</v>
      </c>
      <c r="X16" s="236">
        <v>0</v>
      </c>
      <c r="Y16" s="236">
        <v>0</v>
      </c>
      <c r="Z16" s="236">
        <v>0</v>
      </c>
      <c r="AA16" s="236">
        <v>0</v>
      </c>
    </row>
    <row r="17" spans="1:27" x14ac:dyDescent="0.3">
      <c r="A17" s="498">
        <v>2.2999999999999998</v>
      </c>
      <c r="B17" s="506" t="s">
        <v>460</v>
      </c>
      <c r="C17" s="504"/>
      <c r="D17" s="505">
        <v>0.02</v>
      </c>
      <c r="E17" s="501">
        <f>C17*D17</f>
        <v>0</v>
      </c>
      <c r="F17" s="504"/>
      <c r="G17" s="504"/>
      <c r="H17" s="504"/>
      <c r="I17" s="504"/>
      <c r="J17" s="504"/>
      <c r="K17" s="504"/>
      <c r="L17" s="504"/>
      <c r="M17" s="504"/>
      <c r="N17" s="502">
        <f t="shared" si="3"/>
        <v>0</v>
      </c>
      <c r="P17" s="236">
        <v>0</v>
      </c>
      <c r="Q17" s="236">
        <v>0</v>
      </c>
      <c r="R17" s="236">
        <v>0</v>
      </c>
      <c r="S17" s="236">
        <v>0</v>
      </c>
      <c r="T17" s="236">
        <v>0</v>
      </c>
      <c r="U17" s="236">
        <v>0</v>
      </c>
      <c r="V17" s="236">
        <v>0</v>
      </c>
      <c r="W17" s="236">
        <v>0</v>
      </c>
      <c r="X17" s="236">
        <v>0</v>
      </c>
      <c r="Y17" s="236">
        <v>0</v>
      </c>
      <c r="Z17" s="236">
        <v>0</v>
      </c>
      <c r="AA17" s="236">
        <v>0</v>
      </c>
    </row>
    <row r="18" spans="1:27" x14ac:dyDescent="0.3">
      <c r="A18" s="498">
        <v>2.4</v>
      </c>
      <c r="B18" s="506" t="s">
        <v>461</v>
      </c>
      <c r="C18" s="504"/>
      <c r="D18" s="505">
        <v>0.03</v>
      </c>
      <c r="E18" s="501">
        <f>C18*D18</f>
        <v>0</v>
      </c>
      <c r="F18" s="504"/>
      <c r="G18" s="504"/>
      <c r="H18" s="504"/>
      <c r="I18" s="504"/>
      <c r="J18" s="504"/>
      <c r="K18" s="504"/>
      <c r="L18" s="504"/>
      <c r="M18" s="504"/>
      <c r="N18" s="502">
        <f t="shared" si="3"/>
        <v>0</v>
      </c>
      <c r="P18" s="236">
        <v>0</v>
      </c>
      <c r="Q18" s="236">
        <v>0</v>
      </c>
      <c r="R18" s="236">
        <v>0</v>
      </c>
      <c r="S18" s="236">
        <v>0</v>
      </c>
      <c r="T18" s="236">
        <v>0</v>
      </c>
      <c r="U18" s="236">
        <v>0</v>
      </c>
      <c r="V18" s="236">
        <v>0</v>
      </c>
      <c r="W18" s="236">
        <v>0</v>
      </c>
      <c r="X18" s="236">
        <v>0</v>
      </c>
      <c r="Y18" s="236">
        <v>0</v>
      </c>
      <c r="Z18" s="236">
        <v>0</v>
      </c>
      <c r="AA18" s="236">
        <v>0</v>
      </c>
    </row>
    <row r="19" spans="1:27" x14ac:dyDescent="0.3">
      <c r="A19" s="498">
        <v>2.5</v>
      </c>
      <c r="B19" s="506" t="s">
        <v>462</v>
      </c>
      <c r="C19" s="504"/>
      <c r="D19" s="505">
        <v>0.04</v>
      </c>
      <c r="E19" s="501">
        <f>C19*D19</f>
        <v>0</v>
      </c>
      <c r="F19" s="504"/>
      <c r="G19" s="504"/>
      <c r="H19" s="504"/>
      <c r="I19" s="504"/>
      <c r="J19" s="504"/>
      <c r="K19" s="504"/>
      <c r="L19" s="504"/>
      <c r="M19" s="504"/>
      <c r="N19" s="502">
        <f t="shared" si="3"/>
        <v>0</v>
      </c>
      <c r="P19" s="236">
        <v>0</v>
      </c>
      <c r="Q19" s="236">
        <v>0</v>
      </c>
      <c r="R19" s="236">
        <v>0</v>
      </c>
      <c r="S19" s="236">
        <v>0</v>
      </c>
      <c r="T19" s="236">
        <v>0</v>
      </c>
      <c r="U19" s="236">
        <v>0</v>
      </c>
      <c r="V19" s="236">
        <v>0</v>
      </c>
      <c r="W19" s="236">
        <v>0</v>
      </c>
      <c r="X19" s="236">
        <v>0</v>
      </c>
      <c r="Y19" s="236">
        <v>0</v>
      </c>
      <c r="Z19" s="236">
        <v>0</v>
      </c>
      <c r="AA19" s="236">
        <v>0</v>
      </c>
    </row>
    <row r="20" spans="1:27" x14ac:dyDescent="0.3">
      <c r="A20" s="498">
        <v>2.6</v>
      </c>
      <c r="B20" s="506" t="s">
        <v>463</v>
      </c>
      <c r="C20" s="504"/>
      <c r="D20" s="507"/>
      <c r="E20" s="509"/>
      <c r="F20" s="504"/>
      <c r="G20" s="504"/>
      <c r="H20" s="504"/>
      <c r="I20" s="504"/>
      <c r="J20" s="504"/>
      <c r="K20" s="504"/>
      <c r="L20" s="504"/>
      <c r="M20" s="504"/>
      <c r="N20" s="502">
        <f t="shared" si="3"/>
        <v>0</v>
      </c>
      <c r="P20" s="236">
        <v>0</v>
      </c>
      <c r="Q20" s="236">
        <v>0</v>
      </c>
      <c r="R20" s="236">
        <v>0</v>
      </c>
      <c r="S20" s="236">
        <v>0</v>
      </c>
      <c r="T20" s="236">
        <v>0</v>
      </c>
      <c r="U20" s="236">
        <v>0</v>
      </c>
      <c r="V20" s="236">
        <v>0</v>
      </c>
      <c r="W20" s="236">
        <v>0</v>
      </c>
      <c r="X20" s="236">
        <v>0</v>
      </c>
      <c r="Y20" s="236">
        <v>0</v>
      </c>
      <c r="Z20" s="236">
        <v>0</v>
      </c>
      <c r="AA20" s="236">
        <v>0</v>
      </c>
    </row>
    <row r="21" spans="1:27" ht="14.4" thickBot="1" x14ac:dyDescent="0.35">
      <c r="A21" s="510">
        <v>3</v>
      </c>
      <c r="B21" s="511" t="s">
        <v>54</v>
      </c>
      <c r="C21" s="512">
        <f>C14+C7</f>
        <v>10528720</v>
      </c>
      <c r="D21" s="513"/>
      <c r="E21" s="514">
        <f>E14+E7</f>
        <v>210574.4</v>
      </c>
      <c r="F21" s="515">
        <f>F7+F14</f>
        <v>0</v>
      </c>
      <c r="G21" s="515">
        <f t="shared" ref="G21:L21" si="4">G7+G14</f>
        <v>0</v>
      </c>
      <c r="H21" s="515">
        <f t="shared" si="4"/>
        <v>0</v>
      </c>
      <c r="I21" s="515">
        <f t="shared" si="4"/>
        <v>0</v>
      </c>
      <c r="J21" s="515">
        <f t="shared" si="4"/>
        <v>0</v>
      </c>
      <c r="K21" s="515">
        <f t="shared" si="4"/>
        <v>210574.4</v>
      </c>
      <c r="L21" s="515">
        <f t="shared" si="4"/>
        <v>0</v>
      </c>
      <c r="M21" s="515">
        <f>M7+M14</f>
        <v>0</v>
      </c>
      <c r="N21" s="516">
        <f>N14+N7</f>
        <v>210574.4</v>
      </c>
      <c r="P21" s="236">
        <v>0</v>
      </c>
      <c r="Q21" s="236">
        <v>0</v>
      </c>
      <c r="R21" s="236">
        <v>0</v>
      </c>
      <c r="S21" s="236">
        <v>0</v>
      </c>
      <c r="T21" s="236">
        <v>0</v>
      </c>
      <c r="U21" s="236">
        <v>0</v>
      </c>
      <c r="V21" s="236">
        <v>0</v>
      </c>
      <c r="W21" s="236">
        <v>0</v>
      </c>
      <c r="X21" s="236">
        <v>0</v>
      </c>
      <c r="Y21" s="236">
        <v>0</v>
      </c>
      <c r="Z21" s="236">
        <v>0</v>
      </c>
      <c r="AA21" s="236">
        <v>0</v>
      </c>
    </row>
    <row r="22" spans="1:27" x14ac:dyDescent="0.3">
      <c r="E22" s="517"/>
      <c r="F22" s="517"/>
      <c r="G22" s="517"/>
      <c r="H22" s="517"/>
      <c r="I22" s="517"/>
      <c r="J22" s="517"/>
      <c r="K22" s="517"/>
      <c r="L22" s="517"/>
      <c r="M22" s="517"/>
    </row>
    <row r="23" spans="1:27" x14ac:dyDescent="0.3">
      <c r="E23" s="518">
        <f>E21-'5. RWA'!C10</f>
        <v>0</v>
      </c>
    </row>
  </sheetData>
  <conditionalFormatting sqref="E8:E12">
    <cfRule type="expression" dxfId="29" priority="2">
      <formula>(C8*D8)&lt;&gt;SUM(#REF!)</formula>
    </cfRule>
  </conditionalFormatting>
  <conditionalFormatting sqref="E15:E19">
    <cfRule type="expression" dxfId="28" priority="1">
      <formula>(C15*D15)&lt;&gt;SUM(#REF!)</formula>
    </cfRule>
  </conditionalFormatting>
  <conditionalFormatting sqref="E20">
    <cfRule type="expression" dxfId="27" priority="3">
      <formula>$E$88&lt;&gt;SUM(#REF!)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E0B2-3C26-43C2-BE87-CDCF9F2C80F9}">
  <dimension ref="A1:G43"/>
  <sheetViews>
    <sheetView workbookViewId="0">
      <selection activeCell="C1" sqref="C1:C1048576"/>
    </sheetView>
  </sheetViews>
  <sheetFormatPr defaultRowHeight="14.4" x14ac:dyDescent="0.3"/>
  <cols>
    <col min="1" max="1" width="11.44140625" customWidth="1"/>
    <col min="2" max="2" width="76.88671875" style="191" customWidth="1"/>
    <col min="3" max="3" width="22.88671875" customWidth="1"/>
    <col min="5" max="7" width="10.33203125" bestFit="1" customWidth="1"/>
  </cols>
  <sheetData>
    <row r="1" spans="1:3" x14ac:dyDescent="0.3">
      <c r="A1" s="4" t="s">
        <v>0</v>
      </c>
      <c r="B1" t="s">
        <v>199</v>
      </c>
    </row>
    <row r="2" spans="1:3" x14ac:dyDescent="0.3">
      <c r="A2" s="4" t="s">
        <v>1</v>
      </c>
      <c r="B2" s="5">
        <f>'1. key ratios'!B2</f>
        <v>45016</v>
      </c>
    </row>
    <row r="3" spans="1:3" x14ac:dyDescent="0.3">
      <c r="A3" s="4"/>
      <c r="B3"/>
    </row>
    <row r="4" spans="1:3" x14ac:dyDescent="0.3">
      <c r="A4" s="4" t="s">
        <v>465</v>
      </c>
      <c r="B4" t="s">
        <v>466</v>
      </c>
    </row>
    <row r="5" spans="1:3" x14ac:dyDescent="0.3">
      <c r="A5" s="519"/>
      <c r="B5" s="519" t="s">
        <v>467</v>
      </c>
      <c r="C5" s="520"/>
    </row>
    <row r="6" spans="1:3" x14ac:dyDescent="0.3">
      <c r="A6" s="521">
        <v>1</v>
      </c>
      <c r="B6" s="522" t="s">
        <v>468</v>
      </c>
      <c r="C6" s="530">
        <v>78718914.579237998</v>
      </c>
    </row>
    <row r="7" spans="1:3" x14ac:dyDescent="0.3">
      <c r="A7" s="521">
        <v>2</v>
      </c>
      <c r="B7" s="522" t="s">
        <v>469</v>
      </c>
      <c r="C7" s="530">
        <v>-5128998.9589957595</v>
      </c>
    </row>
    <row r="8" spans="1:3" x14ac:dyDescent="0.3">
      <c r="A8" s="523">
        <v>3</v>
      </c>
      <c r="B8" s="524" t="s">
        <v>470</v>
      </c>
      <c r="C8" s="525">
        <f>C6+C7</f>
        <v>73589915.620242238</v>
      </c>
    </row>
    <row r="9" spans="1:3" x14ac:dyDescent="0.3">
      <c r="A9" s="526"/>
      <c r="B9" s="526" t="s">
        <v>471</v>
      </c>
      <c r="C9" s="527"/>
    </row>
    <row r="10" spans="1:3" x14ac:dyDescent="0.3">
      <c r="A10" s="528">
        <v>4</v>
      </c>
      <c r="B10" s="529" t="s">
        <v>472</v>
      </c>
      <c r="C10" s="530"/>
    </row>
    <row r="11" spans="1:3" x14ac:dyDescent="0.3">
      <c r="A11" s="528">
        <v>5</v>
      </c>
      <c r="B11" s="531" t="s">
        <v>473</v>
      </c>
      <c r="C11" s="530"/>
    </row>
    <row r="12" spans="1:3" x14ac:dyDescent="0.3">
      <c r="A12" s="528" t="s">
        <v>474</v>
      </c>
      <c r="B12" s="522" t="s">
        <v>475</v>
      </c>
      <c r="C12" s="525">
        <f>'15. CCR'!E21</f>
        <v>210574.4</v>
      </c>
    </row>
    <row r="13" spans="1:3" x14ac:dyDescent="0.3">
      <c r="A13" s="532">
        <v>6</v>
      </c>
      <c r="B13" s="533" t="s">
        <v>476</v>
      </c>
      <c r="C13" s="530"/>
    </row>
    <row r="14" spans="1:3" x14ac:dyDescent="0.3">
      <c r="A14" s="532">
        <v>7</v>
      </c>
      <c r="B14" s="534" t="s">
        <v>477</v>
      </c>
      <c r="C14" s="530"/>
    </row>
    <row r="15" spans="1:3" x14ac:dyDescent="0.3">
      <c r="A15" s="535">
        <v>8</v>
      </c>
      <c r="B15" s="522" t="s">
        <v>478</v>
      </c>
      <c r="C15" s="530"/>
    </row>
    <row r="16" spans="1:3" ht="22.8" x14ac:dyDescent="0.3">
      <c r="A16" s="532">
        <v>9</v>
      </c>
      <c r="B16" s="534" t="s">
        <v>479</v>
      </c>
      <c r="C16" s="530"/>
    </row>
    <row r="17" spans="1:7" x14ac:dyDescent="0.3">
      <c r="A17" s="532">
        <v>10</v>
      </c>
      <c r="B17" s="534" t="s">
        <v>480</v>
      </c>
      <c r="C17" s="530"/>
    </row>
    <row r="18" spans="1:7" x14ac:dyDescent="0.3">
      <c r="A18" s="536">
        <v>11</v>
      </c>
      <c r="B18" s="537" t="s">
        <v>481</v>
      </c>
      <c r="C18" s="525">
        <f>SUM(C10:C17)</f>
        <v>210574.4</v>
      </c>
    </row>
    <row r="19" spans="1:7" x14ac:dyDescent="0.3">
      <c r="A19" s="526"/>
      <c r="B19" s="526" t="s">
        <v>482</v>
      </c>
      <c r="C19" s="538"/>
    </row>
    <row r="20" spans="1:7" x14ac:dyDescent="0.3">
      <c r="A20" s="532">
        <v>12</v>
      </c>
      <c r="B20" s="529" t="s">
        <v>483</v>
      </c>
      <c r="C20" s="530"/>
    </row>
    <row r="21" spans="1:7" x14ac:dyDescent="0.3">
      <c r="A21" s="532">
        <v>13</v>
      </c>
      <c r="B21" s="529" t="s">
        <v>484</v>
      </c>
      <c r="C21" s="530"/>
    </row>
    <row r="22" spans="1:7" x14ac:dyDescent="0.3">
      <c r="A22" s="532">
        <v>14</v>
      </c>
      <c r="B22" s="529" t="s">
        <v>485</v>
      </c>
      <c r="C22" s="530"/>
    </row>
    <row r="23" spans="1:7" ht="22.8" x14ac:dyDescent="0.3">
      <c r="A23" s="532" t="s">
        <v>486</v>
      </c>
      <c r="B23" s="529" t="s">
        <v>487</v>
      </c>
      <c r="C23" s="530"/>
    </row>
    <row r="24" spans="1:7" x14ac:dyDescent="0.3">
      <c r="A24" s="532">
        <v>15</v>
      </c>
      <c r="B24" s="529" t="s">
        <v>488</v>
      </c>
      <c r="C24" s="530"/>
    </row>
    <row r="25" spans="1:7" x14ac:dyDescent="0.3">
      <c r="A25" s="532" t="s">
        <v>489</v>
      </c>
      <c r="B25" s="522" t="s">
        <v>490</v>
      </c>
      <c r="C25" s="530"/>
    </row>
    <row r="26" spans="1:7" x14ac:dyDescent="0.3">
      <c r="A26" s="536">
        <v>16</v>
      </c>
      <c r="B26" s="537" t="s">
        <v>491</v>
      </c>
      <c r="C26" s="525">
        <f>SUM(C20:C25)</f>
        <v>0</v>
      </c>
    </row>
    <row r="27" spans="1:7" x14ac:dyDescent="0.3">
      <c r="A27" s="526"/>
      <c r="B27" s="526" t="s">
        <v>492</v>
      </c>
      <c r="C27" s="527"/>
    </row>
    <row r="28" spans="1:7" x14ac:dyDescent="0.3">
      <c r="A28" s="528">
        <v>17</v>
      </c>
      <c r="B28" s="522" t="s">
        <v>493</v>
      </c>
      <c r="C28" s="530">
        <v>3382067.87</v>
      </c>
    </row>
    <row r="29" spans="1:7" x14ac:dyDescent="0.3">
      <c r="A29" s="528">
        <v>18</v>
      </c>
      <c r="B29" s="522" t="s">
        <v>494</v>
      </c>
      <c r="C29" s="530">
        <v>-2364267.483</v>
      </c>
    </row>
    <row r="30" spans="1:7" x14ac:dyDescent="0.3">
      <c r="A30" s="536">
        <v>19</v>
      </c>
      <c r="B30" s="537" t="s">
        <v>495</v>
      </c>
      <c r="C30" s="525">
        <f>C28+C29</f>
        <v>1017800.3870000001</v>
      </c>
      <c r="E30" s="934"/>
      <c r="F30" s="935"/>
      <c r="G30" s="936"/>
    </row>
    <row r="31" spans="1:7" x14ac:dyDescent="0.3">
      <c r="A31" s="539"/>
      <c r="B31" s="526" t="s">
        <v>496</v>
      </c>
      <c r="C31" s="527"/>
    </row>
    <row r="32" spans="1:7" x14ac:dyDescent="0.3">
      <c r="A32" s="528" t="s">
        <v>497</v>
      </c>
      <c r="B32" s="529" t="s">
        <v>498</v>
      </c>
      <c r="C32" s="540"/>
    </row>
    <row r="33" spans="1:3" x14ac:dyDescent="0.3">
      <c r="A33" s="528" t="s">
        <v>499</v>
      </c>
      <c r="B33" s="531" t="s">
        <v>500</v>
      </c>
      <c r="C33" s="540"/>
    </row>
    <row r="34" spans="1:3" x14ac:dyDescent="0.3">
      <c r="A34" s="526"/>
      <c r="B34" s="526" t="s">
        <v>501</v>
      </c>
      <c r="C34" s="527"/>
    </row>
    <row r="35" spans="1:3" x14ac:dyDescent="0.3">
      <c r="A35" s="536">
        <v>20</v>
      </c>
      <c r="B35" s="537" t="s">
        <v>10</v>
      </c>
      <c r="C35" s="525">
        <f>'1. key ratios'!C9</f>
        <v>50701215.87856701</v>
      </c>
    </row>
    <row r="36" spans="1:3" x14ac:dyDescent="0.3">
      <c r="A36" s="536">
        <v>21</v>
      </c>
      <c r="B36" s="537" t="s">
        <v>502</v>
      </c>
      <c r="C36" s="525">
        <f>C8+C18+C26+C30</f>
        <v>74818290.407242239</v>
      </c>
    </row>
    <row r="37" spans="1:3" x14ac:dyDescent="0.3">
      <c r="A37" s="541"/>
      <c r="B37" s="541" t="s">
        <v>466</v>
      </c>
      <c r="C37" s="527"/>
    </row>
    <row r="38" spans="1:3" x14ac:dyDescent="0.3">
      <c r="A38" s="536">
        <v>22</v>
      </c>
      <c r="B38" s="537" t="s">
        <v>466</v>
      </c>
      <c r="C38" s="542">
        <f>IFERROR(C35/C36,0)</f>
        <v>0.677658037928908</v>
      </c>
    </row>
    <row r="39" spans="1:3" x14ac:dyDescent="0.3">
      <c r="A39" s="541"/>
      <c r="B39" s="541" t="s">
        <v>503</v>
      </c>
      <c r="C39" s="527"/>
    </row>
    <row r="40" spans="1:3" x14ac:dyDescent="0.3">
      <c r="A40" s="543" t="s">
        <v>504</v>
      </c>
      <c r="B40" s="529" t="s">
        <v>505</v>
      </c>
      <c r="C40" s="540"/>
    </row>
    <row r="41" spans="1:3" x14ac:dyDescent="0.3">
      <c r="A41" s="544" t="s">
        <v>506</v>
      </c>
      <c r="B41" s="531" t="s">
        <v>507</v>
      </c>
      <c r="C41" s="540"/>
    </row>
    <row r="43" spans="1:3" x14ac:dyDescent="0.3">
      <c r="B43" s="545" t="s">
        <v>508</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0E92-4B8B-4E44-856B-46504A50974A}">
  <dimension ref="A1:L42"/>
  <sheetViews>
    <sheetView zoomScale="70" zoomScaleNormal="70" workbookViewId="0">
      <pane xSplit="2" ySplit="6" topLeftCell="C12" activePane="bottomRight" state="frozen"/>
      <selection activeCell="D1" sqref="D1:D3"/>
      <selection pane="topRight" activeCell="D1" sqref="D1:D3"/>
      <selection pane="bottomLeft" activeCell="D1" sqref="D1:D3"/>
      <selection pane="bottomRight" activeCell="G8" sqref="C8:G39"/>
    </sheetView>
  </sheetViews>
  <sheetFormatPr defaultRowHeight="14.4" x14ac:dyDescent="0.3"/>
  <cols>
    <col min="1" max="1" width="9.88671875" style="4" bestFit="1" customWidth="1"/>
    <col min="2" max="2" width="95.109375" style="79" customWidth="1"/>
    <col min="3" max="7" width="17.5546875" style="4" customWidth="1"/>
    <col min="8" max="8" width="15.88671875" style="920" customWidth="1"/>
    <col min="9" max="9" width="12.88671875" style="920" bestFit="1" customWidth="1"/>
    <col min="10" max="10" width="11.109375" bestFit="1" customWidth="1"/>
    <col min="11" max="11" width="14.5546875" bestFit="1" customWidth="1"/>
    <col min="12" max="12" width="11.109375" bestFit="1" customWidth="1"/>
  </cols>
  <sheetData>
    <row r="1" spans="1:12" x14ac:dyDescent="0.3">
      <c r="A1" s="4" t="s">
        <v>0</v>
      </c>
      <c r="B1" s="4" t="s">
        <v>199</v>
      </c>
    </row>
    <row r="2" spans="1:12" x14ac:dyDescent="0.3">
      <c r="A2" s="4" t="s">
        <v>1</v>
      </c>
      <c r="B2" s="5">
        <f>'1. key ratios'!B2</f>
        <v>45016</v>
      </c>
    </row>
    <row r="3" spans="1:12" x14ac:dyDescent="0.3">
      <c r="B3" s="546"/>
    </row>
    <row r="4" spans="1:12" ht="15" thickBot="1" x14ac:dyDescent="0.35">
      <c r="A4" s="4" t="s">
        <v>509</v>
      </c>
      <c r="B4" s="365" t="s">
        <v>43</v>
      </c>
    </row>
    <row r="5" spans="1:12" x14ac:dyDescent="0.3">
      <c r="A5" s="547"/>
      <c r="B5" s="548"/>
      <c r="C5" s="549" t="s">
        <v>510</v>
      </c>
      <c r="D5" s="549"/>
      <c r="E5" s="549"/>
      <c r="F5" s="549"/>
      <c r="G5" s="550" t="s">
        <v>511</v>
      </c>
    </row>
    <row r="6" spans="1:12" x14ac:dyDescent="0.3">
      <c r="A6" s="551"/>
      <c r="B6" s="552"/>
      <c r="C6" s="553" t="s">
        <v>512</v>
      </c>
      <c r="D6" s="553" t="s">
        <v>513</v>
      </c>
      <c r="E6" s="553" t="s">
        <v>514</v>
      </c>
      <c r="F6" s="553" t="s">
        <v>515</v>
      </c>
      <c r="G6" s="554"/>
    </row>
    <row r="7" spans="1:12" x14ac:dyDescent="0.3">
      <c r="A7" s="555"/>
      <c r="B7" s="556" t="s">
        <v>44</v>
      </c>
      <c r="C7" s="557"/>
      <c r="D7" s="557"/>
      <c r="E7" s="557"/>
      <c r="F7" s="557"/>
      <c r="G7" s="558"/>
    </row>
    <row r="8" spans="1:12" x14ac:dyDescent="0.3">
      <c r="A8" s="426">
        <v>1</v>
      </c>
      <c r="B8" s="559" t="s">
        <v>516</v>
      </c>
      <c r="C8" s="96">
        <f>SUM(C9:C10)</f>
        <v>50701215.87856701</v>
      </c>
      <c r="D8" s="96">
        <f>SUM(D9:D10)</f>
        <v>0</v>
      </c>
      <c r="E8" s="96">
        <f>SUM(E9:E10)</f>
        <v>0</v>
      </c>
      <c r="F8" s="96">
        <f>SUM(F9)</f>
        <v>2875000</v>
      </c>
      <c r="G8" s="560">
        <f>SUM(G9)</f>
        <v>53576215.87856701</v>
      </c>
      <c r="H8" s="937"/>
    </row>
    <row r="9" spans="1:12" x14ac:dyDescent="0.3">
      <c r="A9" s="426">
        <v>2</v>
      </c>
      <c r="B9" s="561" t="s">
        <v>11</v>
      </c>
      <c r="C9" s="96">
        <v>50701215.87856701</v>
      </c>
      <c r="D9" s="96"/>
      <c r="E9" s="96"/>
      <c r="F9" s="96">
        <v>2875000</v>
      </c>
      <c r="G9" s="560">
        <f>SUM(C9:F9)*1</f>
        <v>53576215.87856701</v>
      </c>
      <c r="H9" s="937"/>
    </row>
    <row r="10" spans="1:12" x14ac:dyDescent="0.3">
      <c r="A10" s="426">
        <v>3</v>
      </c>
      <c r="B10" s="561" t="s">
        <v>517</v>
      </c>
      <c r="C10" s="562"/>
      <c r="D10" s="562"/>
      <c r="E10" s="562"/>
      <c r="F10" s="96">
        <v>2300000</v>
      </c>
      <c r="G10" s="560">
        <f>SUM(C10:F10)*1</f>
        <v>2300000</v>
      </c>
      <c r="H10" s="937"/>
    </row>
    <row r="11" spans="1:12" x14ac:dyDescent="0.3">
      <c r="A11" s="426">
        <v>4</v>
      </c>
      <c r="B11" s="559" t="s">
        <v>518</v>
      </c>
      <c r="C11" s="96">
        <f>SUM(C12:C13)</f>
        <v>3685104.5799999908</v>
      </c>
      <c r="D11" s="96">
        <f>SUM(D12:D13)</f>
        <v>141072.57999999999</v>
      </c>
      <c r="E11" s="96">
        <f>SUM(E12:E13)</f>
        <v>310331.21999999997</v>
      </c>
      <c r="F11" s="96">
        <f>SUM(F12:F13)</f>
        <v>33310.800000000003</v>
      </c>
      <c r="G11" s="560">
        <f>SUM(G12:G13)</f>
        <v>3875214.8304999908</v>
      </c>
      <c r="H11" s="937"/>
    </row>
    <row r="12" spans="1:12" x14ac:dyDescent="0.3">
      <c r="A12" s="426">
        <v>5</v>
      </c>
      <c r="B12" s="561" t="s">
        <v>200</v>
      </c>
      <c r="C12" s="96">
        <v>3493741.4899999909</v>
      </c>
      <c r="D12" s="103">
        <v>141072.57999999999</v>
      </c>
      <c r="E12" s="96">
        <v>310331.21999999997</v>
      </c>
      <c r="F12" s="96">
        <v>33310.800000000003</v>
      </c>
      <c r="G12" s="560">
        <f>SUM(C12:F12)*0.95</f>
        <v>3779533.2854999909</v>
      </c>
      <c r="H12" s="937"/>
      <c r="J12" s="111"/>
      <c r="K12" s="563"/>
      <c r="L12" s="111"/>
    </row>
    <row r="13" spans="1:12" x14ac:dyDescent="0.3">
      <c r="A13" s="426">
        <v>6</v>
      </c>
      <c r="B13" s="561" t="s">
        <v>201</v>
      </c>
      <c r="C13" s="96">
        <v>191363.09</v>
      </c>
      <c r="D13" s="103">
        <v>0</v>
      </c>
      <c r="E13" s="96">
        <v>0</v>
      </c>
      <c r="F13" s="96">
        <v>0</v>
      </c>
      <c r="G13" s="560">
        <f>SUM(C13:F13)/2</f>
        <v>95681.544999999998</v>
      </c>
      <c r="H13" s="937"/>
      <c r="L13" s="111">
        <f>L11-L12</f>
        <v>0</v>
      </c>
    </row>
    <row r="14" spans="1:12" x14ac:dyDescent="0.3">
      <c r="A14" s="426">
        <v>7</v>
      </c>
      <c r="B14" s="559" t="s">
        <v>519</v>
      </c>
      <c r="C14" s="96">
        <f>SUM(C15:C16)</f>
        <v>6453034.2799999975</v>
      </c>
      <c r="D14" s="96">
        <f>SUM(D15:D16)</f>
        <v>2104147.9</v>
      </c>
      <c r="E14" s="96">
        <f>SUM(E15:E16)</f>
        <v>2560400</v>
      </c>
      <c r="F14" s="96">
        <f>SUM(F15:F16)</f>
        <v>170724.8</v>
      </c>
      <c r="G14" s="560">
        <f>SUM(G15:G16)</f>
        <v>3863209.5099999988</v>
      </c>
      <c r="H14" s="937"/>
      <c r="L14" s="111"/>
    </row>
    <row r="15" spans="1:12" ht="55.2" x14ac:dyDescent="0.3">
      <c r="A15" s="426">
        <v>8</v>
      </c>
      <c r="B15" s="564" t="s">
        <v>520</v>
      </c>
      <c r="C15" s="96">
        <v>4900294.2199999979</v>
      </c>
      <c r="D15" s="565">
        <v>95000</v>
      </c>
      <c r="E15" s="565">
        <v>2560400</v>
      </c>
      <c r="F15" s="565">
        <v>170724.8</v>
      </c>
      <c r="G15" s="560">
        <f>SUM(C15:F15)/2</f>
        <v>3863209.5099999988</v>
      </c>
      <c r="H15" s="937"/>
      <c r="I15" s="937"/>
      <c r="K15" s="566"/>
      <c r="L15" s="111"/>
    </row>
    <row r="16" spans="1:12" ht="27.6" x14ac:dyDescent="0.3">
      <c r="A16" s="426">
        <v>9</v>
      </c>
      <c r="B16" s="561" t="s">
        <v>521</v>
      </c>
      <c r="C16" s="567">
        <v>1552740.0599999996</v>
      </c>
      <c r="D16" s="567">
        <f>'2. SOFP'!E43</f>
        <v>2009147.9</v>
      </c>
      <c r="E16" s="96"/>
      <c r="F16" s="96"/>
      <c r="G16" s="560">
        <f>C16*0+D16*0</f>
        <v>0</v>
      </c>
    </row>
    <row r="17" spans="1:9" x14ac:dyDescent="0.3">
      <c r="A17" s="426">
        <v>10</v>
      </c>
      <c r="B17" s="559" t="s">
        <v>522</v>
      </c>
      <c r="C17" s="96"/>
      <c r="D17" s="103"/>
      <c r="E17" s="96"/>
      <c r="F17" s="96"/>
      <c r="G17" s="560"/>
    </row>
    <row r="18" spans="1:9" x14ac:dyDescent="0.3">
      <c r="A18" s="426">
        <v>11</v>
      </c>
      <c r="B18" s="559" t="s">
        <v>97</v>
      </c>
      <c r="C18" s="96">
        <f>SUM(C19:C20)</f>
        <v>3021708.6276752101</v>
      </c>
      <c r="D18" s="103">
        <f>SUM(D19:D20)</f>
        <v>10363.20850399998</v>
      </c>
      <c r="E18" s="96">
        <f>SUM(E19:E20)</f>
        <v>0</v>
      </c>
      <c r="F18" s="96">
        <f>SUM(F19:F20)</f>
        <v>0</v>
      </c>
      <c r="G18" s="560">
        <f>SUM(G19:G20)</f>
        <v>0</v>
      </c>
    </row>
    <row r="19" spans="1:9" x14ac:dyDescent="0.3">
      <c r="A19" s="426">
        <v>12</v>
      </c>
      <c r="B19" s="561" t="s">
        <v>523</v>
      </c>
      <c r="C19" s="562"/>
      <c r="D19" s="103">
        <v>10363.20850399998</v>
      </c>
      <c r="E19" s="96"/>
      <c r="F19" s="96"/>
      <c r="G19" s="560">
        <f>D19*0</f>
        <v>0</v>
      </c>
      <c r="H19" s="938"/>
    </row>
    <row r="20" spans="1:9" ht="27.6" x14ac:dyDescent="0.3">
      <c r="A20" s="426">
        <v>13</v>
      </c>
      <c r="B20" s="561" t="s">
        <v>524</v>
      </c>
      <c r="C20" s="96">
        <v>3021708.6276752101</v>
      </c>
      <c r="D20" s="96"/>
      <c r="E20" s="96"/>
      <c r="F20" s="96"/>
      <c r="G20" s="560">
        <f>C20*0</f>
        <v>0</v>
      </c>
      <c r="H20" s="937"/>
    </row>
    <row r="21" spans="1:9" x14ac:dyDescent="0.3">
      <c r="A21" s="568">
        <v>14</v>
      </c>
      <c r="B21" s="569" t="s">
        <v>525</v>
      </c>
      <c r="C21" s="562"/>
      <c r="D21" s="562"/>
      <c r="E21" s="562"/>
      <c r="F21" s="562"/>
      <c r="G21" s="570">
        <f>SUM(G8,G11,G14,G17,G18,G10)</f>
        <v>63614640.219067</v>
      </c>
      <c r="H21" s="937"/>
    </row>
    <row r="22" spans="1:9" x14ac:dyDescent="0.3">
      <c r="A22" s="571"/>
      <c r="B22" s="572" t="s">
        <v>45</v>
      </c>
      <c r="C22" s="573"/>
      <c r="D22" s="574"/>
      <c r="E22" s="573"/>
      <c r="F22" s="573"/>
      <c r="G22" s="575"/>
    </row>
    <row r="23" spans="1:9" x14ac:dyDescent="0.3">
      <c r="A23" s="426">
        <v>15</v>
      </c>
      <c r="B23" s="559" t="s">
        <v>435</v>
      </c>
      <c r="C23" s="118">
        <v>35005546.520000003</v>
      </c>
      <c r="D23" s="118"/>
      <c r="E23" s="118"/>
      <c r="F23" s="118">
        <v>25604</v>
      </c>
      <c r="G23" s="939">
        <v>1472708.9375</v>
      </c>
      <c r="H23" s="937"/>
      <c r="I23" s="937"/>
    </row>
    <row r="24" spans="1:9" x14ac:dyDescent="0.3">
      <c r="A24" s="426">
        <v>16</v>
      </c>
      <c r="B24" s="559" t="s">
        <v>526</v>
      </c>
      <c r="C24" s="96">
        <f>SUM(C25:C27,C29,C31)</f>
        <v>0</v>
      </c>
      <c r="D24" s="103">
        <f>SUM(D25:D27,D29,D31)</f>
        <v>617573.42375778535</v>
      </c>
      <c r="E24" s="96">
        <f>SUM(E25:E27,E29,E31)</f>
        <v>197028.5942966124</v>
      </c>
      <c r="F24" s="96">
        <f>SUM(F25:F27,F29,F31)</f>
        <v>18504994.039390966</v>
      </c>
      <c r="G24" s="560">
        <f>SUM(G25:G27,G29,G31)</f>
        <v>16108009.361412046</v>
      </c>
      <c r="I24" s="937"/>
    </row>
    <row r="25" spans="1:9" ht="27.6" x14ac:dyDescent="0.3">
      <c r="A25" s="426">
        <v>17</v>
      </c>
      <c r="B25" s="561" t="s">
        <v>527</v>
      </c>
      <c r="C25" s="96"/>
      <c r="D25" s="103"/>
      <c r="E25" s="96"/>
      <c r="F25" s="96"/>
      <c r="G25" s="560"/>
    </row>
    <row r="26" spans="1:9" ht="27.6" x14ac:dyDescent="0.3">
      <c r="A26" s="426">
        <v>18</v>
      </c>
      <c r="B26" s="561" t="s">
        <v>528</v>
      </c>
      <c r="C26" s="96"/>
      <c r="D26" s="103">
        <v>525891.76</v>
      </c>
      <c r="E26" s="96"/>
      <c r="F26" s="96"/>
      <c r="G26" s="560">
        <f>D26*0.15</f>
        <v>78883.763999999996</v>
      </c>
      <c r="H26" s="937"/>
      <c r="I26" s="937"/>
    </row>
    <row r="27" spans="1:9" x14ac:dyDescent="0.3">
      <c r="A27" s="426">
        <v>19</v>
      </c>
      <c r="B27" s="561" t="s">
        <v>529</v>
      </c>
      <c r="C27" s="96"/>
      <c r="D27" s="118">
        <v>91681.663757785311</v>
      </c>
      <c r="E27" s="118">
        <v>173560.69714077326</v>
      </c>
      <c r="F27" s="118">
        <v>17278511.558541972</v>
      </c>
      <c r="G27" s="560">
        <v>14974881.540112481</v>
      </c>
      <c r="H27" s="937"/>
      <c r="I27" s="937"/>
    </row>
    <row r="28" spans="1:9" x14ac:dyDescent="0.3">
      <c r="A28" s="426">
        <v>20</v>
      </c>
      <c r="B28" s="576" t="s">
        <v>530</v>
      </c>
      <c r="C28" s="96"/>
      <c r="E28" s="96"/>
      <c r="F28" s="96"/>
      <c r="G28" s="560"/>
    </row>
    <row r="29" spans="1:9" x14ac:dyDescent="0.3">
      <c r="A29" s="426">
        <v>21</v>
      </c>
      <c r="B29" s="561" t="s">
        <v>531</v>
      </c>
      <c r="C29" s="96"/>
      <c r="D29" s="103"/>
      <c r="E29" s="96"/>
      <c r="F29" s="96"/>
      <c r="G29" s="560"/>
    </row>
    <row r="30" spans="1:9" x14ac:dyDescent="0.3">
      <c r="A30" s="426">
        <v>22</v>
      </c>
      <c r="B30" s="576" t="s">
        <v>530</v>
      </c>
      <c r="C30" s="96"/>
      <c r="D30" s="103"/>
      <c r="E30" s="96"/>
      <c r="F30" s="96"/>
      <c r="G30" s="560"/>
    </row>
    <row r="31" spans="1:9" x14ac:dyDescent="0.3">
      <c r="A31" s="426">
        <v>23</v>
      </c>
      <c r="B31" s="561" t="s">
        <v>532</v>
      </c>
      <c r="C31" s="96"/>
      <c r="D31" s="577"/>
      <c r="E31" s="118">
        <v>23467.897155839142</v>
      </c>
      <c r="F31" s="96">
        <v>1226482.4808489948</v>
      </c>
      <c r="G31" s="560">
        <f>E31*0.5+F31*0.85</f>
        <v>1054244.0572995651</v>
      </c>
      <c r="H31" s="937"/>
      <c r="I31" s="913"/>
    </row>
    <row r="32" spans="1:9" x14ac:dyDescent="0.3">
      <c r="A32" s="426">
        <v>24</v>
      </c>
      <c r="B32" s="559" t="s">
        <v>533</v>
      </c>
      <c r="C32" s="96"/>
      <c r="D32" s="103"/>
      <c r="E32" s="96"/>
      <c r="F32" s="96"/>
      <c r="G32" s="560"/>
    </row>
    <row r="33" spans="1:9" x14ac:dyDescent="0.3">
      <c r="A33" s="426">
        <v>25</v>
      </c>
      <c r="B33" s="559" t="s">
        <v>80</v>
      </c>
      <c r="C33" s="96">
        <f>SUM(C34:C35)</f>
        <v>14046031.161004245</v>
      </c>
      <c r="D33" s="96">
        <f>SUM(D34:D35)</f>
        <v>669125.94028525543</v>
      </c>
      <c r="E33" s="96">
        <f>SUM(E34:E35)</f>
        <v>0</v>
      </c>
      <c r="F33" s="96">
        <f>SUM(F34:F35)</f>
        <v>5300510.4400113933</v>
      </c>
      <c r="G33" s="560">
        <f>SUM(G34:G35)</f>
        <v>19729777.641300898</v>
      </c>
    </row>
    <row r="34" spans="1:9" x14ac:dyDescent="0.3">
      <c r="A34" s="426">
        <v>26</v>
      </c>
      <c r="B34" s="561" t="s">
        <v>534</v>
      </c>
      <c r="C34" s="562"/>
      <c r="D34" s="103">
        <v>97346.140285255504</v>
      </c>
      <c r="E34" s="96"/>
      <c r="F34" s="96"/>
      <c r="G34" s="560">
        <f>D34*1</f>
        <v>97346.140285255504</v>
      </c>
      <c r="H34" s="937"/>
      <c r="I34" s="937"/>
    </row>
    <row r="35" spans="1:9" x14ac:dyDescent="0.3">
      <c r="A35" s="426">
        <v>27</v>
      </c>
      <c r="B35" s="561" t="s">
        <v>535</v>
      </c>
      <c r="C35" s="96">
        <f>'2. SOFP'!E25-'2. SOFP'!C64-'2. SOFP'!C29</f>
        <v>14046031.161004245</v>
      </c>
      <c r="D35" s="103">
        <v>571779.79999999993</v>
      </c>
      <c r="E35" s="96"/>
      <c r="F35" s="96">
        <v>5300510.4400113933</v>
      </c>
      <c r="G35" s="560">
        <f>C35+D35*0.5+F35</f>
        <v>19632431.501015641</v>
      </c>
      <c r="H35" s="937"/>
    </row>
    <row r="36" spans="1:9" x14ac:dyDescent="0.3">
      <c r="A36" s="426">
        <v>28</v>
      </c>
      <c r="B36" s="559" t="s">
        <v>536</v>
      </c>
      <c r="C36" s="96"/>
      <c r="D36" s="103">
        <v>2626963.87</v>
      </c>
      <c r="E36" s="96">
        <v>200000</v>
      </c>
      <c r="F36" s="96">
        <v>555104</v>
      </c>
      <c r="G36" s="560">
        <f>D36*0.05+E36*0.1+F36*0.15</f>
        <v>234613.79350000003</v>
      </c>
    </row>
    <row r="37" spans="1:9" x14ac:dyDescent="0.3">
      <c r="A37" s="568">
        <v>29</v>
      </c>
      <c r="B37" s="569" t="s">
        <v>537</v>
      </c>
      <c r="C37" s="562"/>
      <c r="D37" s="562"/>
      <c r="E37" s="562"/>
      <c r="F37" s="562"/>
      <c r="G37" s="570">
        <f>SUM(G23:G24,G32:G33,G36)</f>
        <v>37545109.733712949</v>
      </c>
      <c r="H37" s="937"/>
      <c r="I37" s="937"/>
    </row>
    <row r="38" spans="1:9" x14ac:dyDescent="0.3">
      <c r="A38" s="555"/>
      <c r="B38" s="578"/>
      <c r="C38" s="579"/>
      <c r="D38" s="579"/>
      <c r="E38" s="579"/>
      <c r="F38" s="579"/>
      <c r="G38" s="580"/>
    </row>
    <row r="39" spans="1:9" ht="15" thickBot="1" x14ac:dyDescent="0.35">
      <c r="A39" s="581">
        <v>30</v>
      </c>
      <c r="B39" s="582" t="s">
        <v>43</v>
      </c>
      <c r="C39" s="583"/>
      <c r="D39" s="473"/>
      <c r="E39" s="473"/>
      <c r="F39" s="474"/>
      <c r="G39" s="584">
        <f>IFERROR(G21/G37,0)</f>
        <v>1.6943522251033771</v>
      </c>
      <c r="I39" s="914"/>
    </row>
    <row r="42" spans="1:9" ht="27.6" x14ac:dyDescent="0.3">
      <c r="B42" s="79" t="s">
        <v>538</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2F55A-C6A4-4988-BA14-27A6A11294EC}">
  <dimension ref="A1:L51"/>
  <sheetViews>
    <sheetView zoomScaleNormal="130" workbookViewId="0">
      <pane xSplit="1" ySplit="5" topLeftCell="B27" activePane="bottomRight" state="frozen"/>
      <selection activeCell="B50" sqref="B50"/>
      <selection pane="topRight" activeCell="B50" sqref="B50"/>
      <selection pane="bottomLeft" activeCell="B50" sqref="B50"/>
      <selection pane="bottomRight" activeCell="C8" sqref="C8:L48"/>
    </sheetView>
  </sheetViews>
  <sheetFormatPr defaultRowHeight="14.4" x14ac:dyDescent="0.3"/>
  <cols>
    <col min="1" max="1" width="9.5546875" style="78" bestFit="1" customWidth="1"/>
    <col min="2" max="2" width="55.33203125" style="3" customWidth="1"/>
    <col min="3" max="3" width="12.6640625" style="3" customWidth="1"/>
    <col min="4" max="4" width="12.6640625" style="897" customWidth="1"/>
    <col min="5" max="7" width="12.6640625" style="4" customWidth="1"/>
    <col min="8" max="8" width="15.44140625" customWidth="1"/>
    <col min="9" max="12" width="10.33203125" bestFit="1" customWidth="1"/>
    <col min="13" max="13" width="6.6640625" customWidth="1"/>
  </cols>
  <sheetData>
    <row r="1" spans="1:12" x14ac:dyDescent="0.3">
      <c r="A1" s="1" t="s">
        <v>0</v>
      </c>
      <c r="B1" s="2" t="s">
        <v>199</v>
      </c>
    </row>
    <row r="2" spans="1:12" x14ac:dyDescent="0.3">
      <c r="A2" s="1" t="s">
        <v>1</v>
      </c>
      <c r="B2" s="5">
        <v>45016</v>
      </c>
    </row>
    <row r="3" spans="1:12" ht="15" thickBot="1" x14ac:dyDescent="0.35">
      <c r="A3" s="1"/>
    </row>
    <row r="4" spans="1:12" ht="15" thickBot="1" x14ac:dyDescent="0.35">
      <c r="A4" s="6" t="s">
        <v>2</v>
      </c>
      <c r="B4" s="7" t="s">
        <v>3</v>
      </c>
      <c r="C4" s="8"/>
      <c r="D4" s="9" t="s">
        <v>4</v>
      </c>
      <c r="E4" s="10"/>
      <c r="F4" s="10"/>
      <c r="G4" s="11"/>
      <c r="I4" s="12" t="s">
        <v>5</v>
      </c>
      <c r="J4" s="13"/>
      <c r="K4" s="13"/>
      <c r="L4" s="14"/>
    </row>
    <row r="5" spans="1:12" x14ac:dyDescent="0.3">
      <c r="A5" s="15" t="s">
        <v>6</v>
      </c>
      <c r="B5" s="16"/>
      <c r="C5" s="17" t="s">
        <v>978</v>
      </c>
      <c r="D5" s="898" t="str">
        <f>IF(INT(MONTH($B$2))=3, "4"&amp;"Q"&amp;"-"&amp;YEAR($B$2)-1, IF(INT(MONTH($B$2))=6, "1"&amp;"Q"&amp;"-"&amp;YEAR($B$2), IF(INT(MONTH($B$2))=9, "2"&amp;"Q"&amp;"-"&amp;YEAR($B$2),IF(INT(MONTH($B$2))=12, "3"&amp;"Q"&amp;"-"&amp;YEAR($B$2), 0))))</f>
        <v>4Q-2022</v>
      </c>
      <c r="E5" s="17" t="str">
        <f>IF(INT(MONTH($B$2))=3, "3"&amp;"Q"&amp;"-"&amp;YEAR($B$2)-1, IF(INT(MONTH($B$2))=6, "4"&amp;"Q"&amp;"-"&amp;YEAR($B$2)-1, IF(INT(MONTH($B$2))=9, "1"&amp;"Q"&amp;"-"&amp;YEAR($B$2),IF(INT(MONTH($B$2))=12, "2"&amp;"Q"&amp;"-"&amp;YEAR($B$2), 0))))</f>
        <v>3Q-2022</v>
      </c>
      <c r="F5" s="17" t="str">
        <f>IF(INT(MONTH($B$2))=3, "2"&amp;"Q"&amp;"-"&amp;YEAR($B$2)-1, IF(INT(MONTH($B$2))=6, "3"&amp;"Q"&amp;"-"&amp;YEAR($B$2)-1, IF(INT(MONTH($B$2))=9, "4"&amp;"Q"&amp;"-"&amp;YEAR($B$2)-1,IF(INT(MONTH($B$2))=12, "1"&amp;"Q"&amp;"-"&amp;YEAR($B$2), 0))))</f>
        <v>2Q-2022</v>
      </c>
      <c r="G5" s="18" t="str">
        <f>IF(INT(MONTH($B$2))=3, "1"&amp;"Q"&amp;"-"&amp;YEAR($B$2)-1, IF(INT(MONTH($B$2))=6, "2"&amp;"Q"&amp;"-"&amp;YEAR($B$2)-1, IF(INT(MONTH($B$2))=9, "3"&amp;"Q"&amp;"-"&amp;YEAR($B$2)-1,IF(INT(MONTH($B$2))=12, "4"&amp;"Q"&amp;"-"&amp;YEAR($B$2)-1, 0))))</f>
        <v>1Q-2022</v>
      </c>
      <c r="I5" s="19" t="str">
        <f>D5</f>
        <v>4Q-2022</v>
      </c>
      <c r="J5" s="17" t="str">
        <f>E5</f>
        <v>3Q-2022</v>
      </c>
      <c r="K5" s="17" t="str">
        <f>F5</f>
        <v>2Q-2022</v>
      </c>
      <c r="L5" s="18" t="str">
        <f>G5</f>
        <v>1Q-2022</v>
      </c>
    </row>
    <row r="6" spans="1:12" x14ac:dyDescent="0.3">
      <c r="A6" s="20"/>
      <c r="B6" s="21" t="s">
        <v>7</v>
      </c>
      <c r="C6" s="22"/>
      <c r="D6" s="911"/>
      <c r="E6" s="911"/>
      <c r="F6" s="911"/>
      <c r="G6" s="912"/>
      <c r="I6" s="25"/>
      <c r="J6" s="22"/>
      <c r="K6" s="22"/>
      <c r="L6" s="26"/>
    </row>
    <row r="7" spans="1:12" x14ac:dyDescent="0.3">
      <c r="A7" s="20"/>
      <c r="B7" s="27" t="s">
        <v>8</v>
      </c>
      <c r="C7" s="22"/>
      <c r="D7" s="911"/>
      <c r="E7" s="911"/>
      <c r="F7" s="911"/>
      <c r="G7" s="912"/>
      <c r="I7" s="25"/>
      <c r="J7" s="22"/>
      <c r="K7" s="22"/>
      <c r="L7" s="26"/>
    </row>
    <row r="8" spans="1:12" x14ac:dyDescent="0.3">
      <c r="A8" s="28">
        <v>1</v>
      </c>
      <c r="B8" s="29" t="s">
        <v>9</v>
      </c>
      <c r="C8" s="906">
        <v>50701215.87856701</v>
      </c>
      <c r="D8" s="899">
        <v>52357110.058280259</v>
      </c>
      <c r="E8" s="30">
        <v>51696103.10465353</v>
      </c>
      <c r="F8" s="30">
        <v>52403622.158149272</v>
      </c>
      <c r="G8" s="31">
        <v>53482485.201785989</v>
      </c>
      <c r="I8" s="32">
        <v>48511184.540000007</v>
      </c>
      <c r="J8" s="30">
        <v>47033072.099999994</v>
      </c>
      <c r="K8" s="30">
        <v>47669109.719999999</v>
      </c>
      <c r="L8" s="31">
        <v>48782730.109999999</v>
      </c>
    </row>
    <row r="9" spans="1:12" x14ac:dyDescent="0.3">
      <c r="A9" s="28">
        <v>2</v>
      </c>
      <c r="B9" s="29" t="s">
        <v>10</v>
      </c>
      <c r="C9" s="906">
        <v>50701215.87856701</v>
      </c>
      <c r="D9" s="899">
        <v>52357110.058280259</v>
      </c>
      <c r="E9" s="30">
        <v>51696103.10465353</v>
      </c>
      <c r="F9" s="30">
        <v>52403622.158149272</v>
      </c>
      <c r="G9" s="31">
        <v>53482485.201785989</v>
      </c>
      <c r="I9" s="32">
        <v>48511184.540000007</v>
      </c>
      <c r="J9" s="30">
        <v>47033072.099999994</v>
      </c>
      <c r="K9" s="30">
        <v>47669109.719999999</v>
      </c>
      <c r="L9" s="31">
        <v>48782730.109999999</v>
      </c>
    </row>
    <row r="10" spans="1:12" x14ac:dyDescent="0.3">
      <c r="A10" s="28">
        <v>3</v>
      </c>
      <c r="B10" s="29" t="s">
        <v>11</v>
      </c>
      <c r="C10" s="906">
        <v>53576215.87856701</v>
      </c>
      <c r="D10" s="899">
        <v>55232110.058280259</v>
      </c>
      <c r="E10" s="30">
        <v>54571103.10465353</v>
      </c>
      <c r="F10" s="30">
        <v>54903622.158149272</v>
      </c>
      <c r="G10" s="31">
        <v>55982485.201785989</v>
      </c>
      <c r="I10" s="32">
        <v>51806334.150000006</v>
      </c>
      <c r="J10" s="30">
        <v>50425926.109999992</v>
      </c>
      <c r="K10" s="30">
        <v>50544809.549999997</v>
      </c>
      <c r="L10" s="31">
        <v>51647000.859999999</v>
      </c>
    </row>
    <row r="11" spans="1:12" x14ac:dyDescent="0.3">
      <c r="A11" s="28">
        <v>4</v>
      </c>
      <c r="B11" s="29" t="s">
        <v>12</v>
      </c>
      <c r="C11" s="33">
        <v>10119514.466354832</v>
      </c>
      <c r="D11" s="899">
        <v>9869797.0652740672</v>
      </c>
      <c r="E11" s="30">
        <v>11345324.36468773</v>
      </c>
      <c r="F11" s="30">
        <v>9714031.6837478746</v>
      </c>
      <c r="G11" s="31">
        <v>11040996.897538763</v>
      </c>
      <c r="I11" s="32">
        <v>6435500.856027049</v>
      </c>
      <c r="J11" s="30">
        <v>7730929.6487218384</v>
      </c>
      <c r="K11" s="30">
        <v>5206706.6113385735</v>
      </c>
      <c r="L11" s="31">
        <v>6735696.2838718379</v>
      </c>
    </row>
    <row r="12" spans="1:12" x14ac:dyDescent="0.3">
      <c r="A12" s="28">
        <v>5</v>
      </c>
      <c r="B12" s="29" t="s">
        <v>13</v>
      </c>
      <c r="C12" s="33">
        <v>12133949.698290095</v>
      </c>
      <c r="D12" s="899">
        <v>12081288.86648277</v>
      </c>
      <c r="E12" s="30">
        <v>13841766.856757026</v>
      </c>
      <c r="F12" s="30">
        <v>11753941.631301166</v>
      </c>
      <c r="G12" s="31">
        <v>13519141.916531201</v>
      </c>
      <c r="I12" s="32">
        <v>8581167.2055233996</v>
      </c>
      <c r="J12" s="30">
        <v>10308419.729979118</v>
      </c>
      <c r="K12" s="30">
        <v>6942485.309496766</v>
      </c>
      <c r="L12" s="31">
        <v>8981159.282382451</v>
      </c>
    </row>
    <row r="13" spans="1:12" x14ac:dyDescent="0.3">
      <c r="A13" s="28">
        <v>6</v>
      </c>
      <c r="B13" s="29" t="s">
        <v>14</v>
      </c>
      <c r="C13" s="33">
        <v>15552177.06800996</v>
      </c>
      <c r="D13" s="899">
        <v>16711497.775026551</v>
      </c>
      <c r="E13" s="30">
        <v>19227806.539750431</v>
      </c>
      <c r="F13" s="30">
        <v>17064451.250638548</v>
      </c>
      <c r="G13" s="31">
        <v>19604715.61186441</v>
      </c>
      <c r="I13" s="32">
        <v>13119687.070131311</v>
      </c>
      <c r="J13" s="30">
        <v>15779925.709801527</v>
      </c>
      <c r="K13" s="30">
        <v>12782659.366280219</v>
      </c>
      <c r="L13" s="31">
        <v>15671110.145961303</v>
      </c>
    </row>
    <row r="14" spans="1:12" ht="27.6" x14ac:dyDescent="0.3">
      <c r="A14" s="20"/>
      <c r="B14" s="21" t="s">
        <v>15</v>
      </c>
      <c r="C14" s="22"/>
      <c r="D14" s="23"/>
      <c r="E14" s="23"/>
      <c r="F14" s="23"/>
      <c r="G14" s="24"/>
      <c r="I14" s="25"/>
      <c r="J14" s="22"/>
      <c r="K14" s="22"/>
      <c r="L14" s="26"/>
    </row>
    <row r="15" spans="1:12" ht="21.9" customHeight="1" x14ac:dyDescent="0.3">
      <c r="A15" s="28">
        <v>7</v>
      </c>
      <c r="B15" s="29" t="s">
        <v>16</v>
      </c>
      <c r="C15" s="34">
        <v>57614061.346276328</v>
      </c>
      <c r="D15" s="899">
        <v>61454294.813858084</v>
      </c>
      <c r="E15" s="30">
        <f>'5. RWA'!E13</f>
        <v>75106375.810502693</v>
      </c>
      <c r="F15" s="30">
        <f>'5. RWA'!F13</f>
        <v>61608903.686330736</v>
      </c>
      <c r="G15" s="30">
        <f>'5. RWA'!G13</f>
        <v>77718202.448529467</v>
      </c>
      <c r="I15" s="32">
        <v>57240173.042884499</v>
      </c>
      <c r="J15" s="30">
        <v>68112948.195683539</v>
      </c>
      <c r="K15" s="30">
        <v>53853117.125751503</v>
      </c>
      <c r="L15" s="31">
        <v>71891560.79072018</v>
      </c>
    </row>
    <row r="16" spans="1:12" x14ac:dyDescent="0.3">
      <c r="A16" s="20"/>
      <c r="B16" s="21" t="s">
        <v>17</v>
      </c>
      <c r="C16" s="22"/>
      <c r="D16" s="23"/>
      <c r="E16" s="23"/>
      <c r="F16" s="23"/>
      <c r="G16" s="24"/>
      <c r="I16" s="25"/>
      <c r="J16" s="22"/>
      <c r="K16" s="22"/>
      <c r="L16" s="26"/>
    </row>
    <row r="17" spans="1:12" x14ac:dyDescent="0.3">
      <c r="A17" s="28"/>
      <c r="B17" s="27" t="s">
        <v>18</v>
      </c>
      <c r="C17" s="22"/>
      <c r="D17" s="23"/>
      <c r="E17" s="23"/>
      <c r="F17" s="23"/>
      <c r="G17" s="24"/>
      <c r="I17" s="25"/>
      <c r="J17" s="22"/>
      <c r="K17" s="22"/>
      <c r="L17" s="26"/>
    </row>
    <row r="18" spans="1:12" x14ac:dyDescent="0.3">
      <c r="A18" s="28">
        <v>8</v>
      </c>
      <c r="B18" s="29" t="s">
        <v>19</v>
      </c>
      <c r="C18" s="35">
        <v>0.88001461264531899</v>
      </c>
      <c r="D18" s="35">
        <f>D8/D$15</f>
        <v>0.85196828337006014</v>
      </c>
      <c r="E18" s="35">
        <f>E8/E$15</f>
        <v>0.68830512119351217</v>
      </c>
      <c r="F18" s="35">
        <f>F8/F$15</f>
        <v>0.85058520802369264</v>
      </c>
      <c r="G18" s="35">
        <f>G8/G$15</f>
        <v>0.68815906077094235</v>
      </c>
      <c r="I18" s="36">
        <v>0.84750240890528561</v>
      </c>
      <c r="J18" s="37">
        <v>0.6905158761426301</v>
      </c>
      <c r="K18" s="37">
        <v>0.88516899790013392</v>
      </c>
      <c r="L18" s="38">
        <v>0.67855989734329025</v>
      </c>
    </row>
    <row r="19" spans="1:12" ht="15" customHeight="1" x14ac:dyDescent="0.3">
      <c r="A19" s="28">
        <v>9</v>
      </c>
      <c r="B19" s="29" t="s">
        <v>20</v>
      </c>
      <c r="C19" s="35">
        <v>0.88001461264531899</v>
      </c>
      <c r="D19" s="35">
        <f t="shared" ref="C19:G20" si="0">D9/D$15</f>
        <v>0.85196828337006014</v>
      </c>
      <c r="E19" s="35">
        <f t="shared" si="0"/>
        <v>0.68830512119351217</v>
      </c>
      <c r="F19" s="35">
        <f t="shared" si="0"/>
        <v>0.85058520802369264</v>
      </c>
      <c r="G19" s="35">
        <f t="shared" si="0"/>
        <v>0.68815906077094235</v>
      </c>
      <c r="I19" s="36">
        <v>0.84750240890528561</v>
      </c>
      <c r="J19" s="37">
        <v>0.6905158761426301</v>
      </c>
      <c r="K19" s="37">
        <v>0.88516899790013392</v>
      </c>
      <c r="L19" s="38">
        <v>0.67855989734329025</v>
      </c>
    </row>
    <row r="20" spans="1:12" x14ac:dyDescent="0.3">
      <c r="A20" s="28">
        <v>10</v>
      </c>
      <c r="B20" s="29" t="s">
        <v>21</v>
      </c>
      <c r="C20" s="35">
        <v>0.9299156252248777</v>
      </c>
      <c r="D20" s="35">
        <f t="shared" si="0"/>
        <v>0.8987510185508677</v>
      </c>
      <c r="E20" s="35">
        <f t="shared" si="0"/>
        <v>0.72658416167409368</v>
      </c>
      <c r="F20" s="35">
        <f t="shared" si="0"/>
        <v>0.89116375836973094</v>
      </c>
      <c r="G20" s="35">
        <f t="shared" si="0"/>
        <v>0.72032655720339878</v>
      </c>
      <c r="I20" s="36">
        <v>0.9050694887170686</v>
      </c>
      <c r="J20" s="37">
        <v>0.7403280498904552</v>
      </c>
      <c r="K20" s="37">
        <v>0.93856794643796881</v>
      </c>
      <c r="L20" s="38">
        <v>0.71840144089160796</v>
      </c>
    </row>
    <row r="21" spans="1:12" x14ac:dyDescent="0.3">
      <c r="A21" s="28">
        <v>11</v>
      </c>
      <c r="B21" s="29" t="s">
        <v>12</v>
      </c>
      <c r="C21" s="35">
        <v>0.17564313693377337</v>
      </c>
      <c r="D21" s="39">
        <v>0.16060386170192298</v>
      </c>
      <c r="E21" s="37">
        <v>0.15105674108563799</v>
      </c>
      <c r="F21" s="37">
        <v>0.15767252949678995</v>
      </c>
      <c r="G21" s="910">
        <v>0.14206449132493637</v>
      </c>
      <c r="I21" s="36">
        <v>0.11242979386532521</v>
      </c>
      <c r="J21" s="37">
        <v>0.11350161538319323</v>
      </c>
      <c r="K21" s="37">
        <v>9.6683477006177396E-2</v>
      </c>
      <c r="L21" s="38">
        <v>9.3692447483227914E-2</v>
      </c>
    </row>
    <row r="22" spans="1:12" x14ac:dyDescent="0.3">
      <c r="A22" s="28">
        <v>12</v>
      </c>
      <c r="B22" s="29" t="s">
        <v>13</v>
      </c>
      <c r="C22" s="35">
        <v>0.21060743531621084</v>
      </c>
      <c r="D22" s="39">
        <v>0.19658982180295739</v>
      </c>
      <c r="E22" s="37">
        <v>0.184295496985243</v>
      </c>
      <c r="F22" s="37">
        <v>0.19078316490006025</v>
      </c>
      <c r="G22" s="910">
        <v>0.17395077974795597</v>
      </c>
      <c r="I22" s="36">
        <v>0.14991511641822544</v>
      </c>
      <c r="J22" s="37">
        <v>0.151343026591123</v>
      </c>
      <c r="K22" s="37">
        <v>0.12891519897140746</v>
      </c>
      <c r="L22" s="38">
        <v>0.12492647514674277</v>
      </c>
    </row>
    <row r="23" spans="1:12" x14ac:dyDescent="0.3">
      <c r="A23" s="28">
        <v>13</v>
      </c>
      <c r="B23" s="29" t="s">
        <v>14</v>
      </c>
      <c r="C23" s="35">
        <v>0.26993717687314395</v>
      </c>
      <c r="D23" s="39">
        <v>0.2719337651769469</v>
      </c>
      <c r="E23" s="37">
        <v>0.2560076469175292</v>
      </c>
      <c r="F23" s="37">
        <v>0.27698027768062145</v>
      </c>
      <c r="G23" s="910">
        <v>0.25225384780158872</v>
      </c>
      <c r="I23" s="36">
        <v>0.22920418252932262</v>
      </c>
      <c r="J23" s="37">
        <v>0.23167292163696906</v>
      </c>
      <c r="K23" s="37">
        <v>0.2373615502410315</v>
      </c>
      <c r="L23" s="38">
        <v>0.2179826112216518</v>
      </c>
    </row>
    <row r="24" spans="1:12" x14ac:dyDescent="0.3">
      <c r="A24" s="20"/>
      <c r="B24" s="21" t="s">
        <v>22</v>
      </c>
      <c r="C24" s="22"/>
      <c r="D24" s="23"/>
      <c r="E24" s="22"/>
      <c r="F24" s="22"/>
      <c r="G24" s="26"/>
      <c r="I24" s="25"/>
      <c r="J24" s="22"/>
      <c r="K24" s="22"/>
      <c r="L24" s="26"/>
    </row>
    <row r="25" spans="1:12" ht="15" customHeight="1" x14ac:dyDescent="0.3">
      <c r="A25" s="40">
        <v>14</v>
      </c>
      <c r="B25" s="41" t="s">
        <v>23</v>
      </c>
      <c r="C25" s="42">
        <v>6.871515570245626E-2</v>
      </c>
      <c r="D25" s="43">
        <v>6.4548651401964655E-2</v>
      </c>
      <c r="E25" s="44">
        <v>6.3433396223822935E-2</v>
      </c>
      <c r="F25" s="44">
        <v>6.2649296995530762E-2</v>
      </c>
      <c r="G25" s="45">
        <v>6.1741874553844056E-2</v>
      </c>
      <c r="H25" s="46"/>
      <c r="I25" s="47">
        <v>6.9976078573742315E-2</v>
      </c>
      <c r="J25" s="44">
        <v>8.6712764166882422E-2</v>
      </c>
      <c r="K25" s="44">
        <v>6.8644437943282871E-2</v>
      </c>
      <c r="L25" s="45">
        <v>6.6340453031664887E-2</v>
      </c>
    </row>
    <row r="26" spans="1:12" x14ac:dyDescent="0.3">
      <c r="A26" s="40">
        <v>15</v>
      </c>
      <c r="B26" s="41" t="s">
        <v>24</v>
      </c>
      <c r="C26" s="42">
        <v>1.8944117503635696E-2</v>
      </c>
      <c r="D26" s="48">
        <v>2.7292070466854432E-2</v>
      </c>
      <c r="E26" s="44">
        <v>2.7741063879801957E-2</v>
      </c>
      <c r="F26" s="44">
        <v>2.9045142674792003E-2</v>
      </c>
      <c r="G26" s="45">
        <v>2.9101068830424584E-2</v>
      </c>
      <c r="H26" s="46"/>
      <c r="I26" s="47">
        <v>2.9409129873193305E-2</v>
      </c>
      <c r="J26" s="44">
        <v>3.7733216878770522E-2</v>
      </c>
      <c r="K26" s="44">
        <v>3.1564328779412947E-2</v>
      </c>
      <c r="L26" s="45">
        <v>3.1725445419185233E-2</v>
      </c>
    </row>
    <row r="27" spans="1:12" x14ac:dyDescent="0.3">
      <c r="A27" s="40">
        <v>16</v>
      </c>
      <c r="B27" s="41" t="s">
        <v>25</v>
      </c>
      <c r="C27" s="42">
        <v>-3.6757572980345238E-2</v>
      </c>
      <c r="D27" s="48">
        <v>-2.8734242001635307E-2</v>
      </c>
      <c r="E27" s="44">
        <v>-2.9697663802313909E-2</v>
      </c>
      <c r="F27" s="44">
        <v>-3.029081070196004E-2</v>
      </c>
      <c r="G27" s="45">
        <v>-3.6091779133075083E-2</v>
      </c>
      <c r="H27" s="46"/>
      <c r="I27" s="47">
        <v>-2.5967160101922751E-2</v>
      </c>
      <c r="J27" s="44">
        <v>-3.3195023967773338E-2</v>
      </c>
      <c r="K27" s="44">
        <v>-2.6266127410361082E-2</v>
      </c>
      <c r="L27" s="45">
        <v>-3.0832339776697228E-2</v>
      </c>
    </row>
    <row r="28" spans="1:12" x14ac:dyDescent="0.3">
      <c r="A28" s="40">
        <v>17</v>
      </c>
      <c r="B28" s="41" t="s">
        <v>26</v>
      </c>
      <c r="C28" s="42">
        <v>4.9771038198820568E-2</v>
      </c>
      <c r="D28" s="48">
        <v>3.7258573709081005E-2</v>
      </c>
      <c r="E28" s="44">
        <v>2.6769249258015729E-2</v>
      </c>
      <c r="F28" s="44">
        <v>3.3604154320738752E-2</v>
      </c>
      <c r="G28" s="45">
        <v>3.2640805723419472E-2</v>
      </c>
      <c r="H28" s="46"/>
      <c r="I28" s="47">
        <v>4.0566948700549006E-2</v>
      </c>
      <c r="J28" s="44">
        <v>4.8979547288111901E-2</v>
      </c>
      <c r="K28" s="44">
        <v>3.7080109163869925E-2</v>
      </c>
      <c r="L28" s="45">
        <v>3.4615007612479654E-2</v>
      </c>
    </row>
    <row r="29" spans="1:12" x14ac:dyDescent="0.3">
      <c r="A29" s="40">
        <v>18</v>
      </c>
      <c r="B29" s="41" t="s">
        <v>27</v>
      </c>
      <c r="C29" s="42">
        <v>-5.5093624167006743E-2</v>
      </c>
      <c r="D29" s="48">
        <v>-4.2491248458520849E-2</v>
      </c>
      <c r="E29" s="44">
        <v>-3.7787800036847348E-2</v>
      </c>
      <c r="F29" s="44">
        <v>-4.0641941763849138E-2</v>
      </c>
      <c r="G29" s="45">
        <v>-3.6665066154672202E-2</v>
      </c>
      <c r="H29" s="46"/>
      <c r="I29" s="47">
        <v>-3.3122255484799017E-2</v>
      </c>
      <c r="J29" s="44">
        <v>-4.8911011129122245E-2</v>
      </c>
      <c r="K29" s="44">
        <v>-4.3456904238065724E-2</v>
      </c>
      <c r="L29" s="45">
        <v>-3.6956771619234767E-2</v>
      </c>
    </row>
    <row r="30" spans="1:12" x14ac:dyDescent="0.3">
      <c r="A30" s="40">
        <v>19</v>
      </c>
      <c r="B30" s="41" t="s">
        <v>28</v>
      </c>
      <c r="C30" s="42">
        <v>-8.206638848692803E-2</v>
      </c>
      <c r="D30" s="48">
        <v>-6.5775634587289161E-2</v>
      </c>
      <c r="E30" s="44">
        <v>-5.8354714346085954E-2</v>
      </c>
      <c r="F30" s="44">
        <v>-6.2587068466103027E-2</v>
      </c>
      <c r="G30" s="45">
        <v>-3.6665066154672202E-2</v>
      </c>
      <c r="H30" s="46"/>
      <c r="I30" s="47">
        <v>-5.4955915971710907E-2</v>
      </c>
      <c r="J30" s="44">
        <v>-8.0165581024978935E-2</v>
      </c>
      <c r="K30" s="44">
        <v>-7.1654535872239203E-2</v>
      </c>
      <c r="L30" s="45">
        <v>-6.2810585501920951E-2</v>
      </c>
    </row>
    <row r="31" spans="1:12" x14ac:dyDescent="0.3">
      <c r="A31" s="20"/>
      <c r="B31" s="21" t="s">
        <v>29</v>
      </c>
      <c r="C31" s="22"/>
      <c r="D31" s="23"/>
      <c r="E31" s="22"/>
      <c r="F31" s="22"/>
      <c r="G31" s="26"/>
      <c r="I31" s="25"/>
      <c r="J31" s="22"/>
      <c r="K31" s="22"/>
      <c r="L31" s="26"/>
    </row>
    <row r="32" spans="1:12" x14ac:dyDescent="0.3">
      <c r="A32" s="40">
        <v>20</v>
      </c>
      <c r="B32" s="41" t="s">
        <v>30</v>
      </c>
      <c r="C32" s="42">
        <v>6.812416279729494E-2</v>
      </c>
      <c r="D32" s="48">
        <v>6.3630471777496839E-2</v>
      </c>
      <c r="E32" s="44">
        <v>5.3370093762124662E-2</v>
      </c>
      <c r="F32" s="44">
        <v>7.8611929833559066E-2</v>
      </c>
      <c r="G32" s="45">
        <v>9.7739501476269336E-2</v>
      </c>
      <c r="I32" s="47">
        <v>7.1593592432212444E-2</v>
      </c>
      <c r="J32" s="44">
        <v>9.7700818052230035E-2</v>
      </c>
      <c r="K32" s="44">
        <v>0.1459437829377751</v>
      </c>
      <c r="L32" s="45">
        <v>0.16505744055088239</v>
      </c>
    </row>
    <row r="33" spans="1:12" ht="15" customHeight="1" x14ac:dyDescent="0.3">
      <c r="A33" s="40">
        <v>21</v>
      </c>
      <c r="B33" s="41" t="s">
        <v>31</v>
      </c>
      <c r="C33" s="42">
        <v>4.8700707842852749E-2</v>
      </c>
      <c r="D33" s="48">
        <v>4.5844323891332479E-2</v>
      </c>
      <c r="E33" s="44">
        <v>4.7536940977588545E-2</v>
      </c>
      <c r="F33" s="44">
        <v>5.952699462856452E-2</v>
      </c>
      <c r="G33" s="45">
        <v>7.0142796998850607E-2</v>
      </c>
      <c r="I33" s="47">
        <v>4.2022503882801265E-2</v>
      </c>
      <c r="J33" s="44">
        <v>5.0902620948851923E-2</v>
      </c>
      <c r="K33" s="44">
        <v>6.4883518819109212E-2</v>
      </c>
      <c r="L33" s="45">
        <v>6.9545281550102159E-2</v>
      </c>
    </row>
    <row r="34" spans="1:12" x14ac:dyDescent="0.3">
      <c r="A34" s="40">
        <v>22</v>
      </c>
      <c r="B34" s="41" t="s">
        <v>32</v>
      </c>
      <c r="C34" s="42">
        <v>0.39067944788619285</v>
      </c>
      <c r="D34" s="48">
        <v>0.32727225428488882</v>
      </c>
      <c r="E34" s="44">
        <v>0.32727225428488882</v>
      </c>
      <c r="F34" s="44">
        <v>0.19379678676395287</v>
      </c>
      <c r="G34" s="45">
        <v>0.22388108739067511</v>
      </c>
      <c r="I34" s="47">
        <v>0.37000812830572832</v>
      </c>
      <c r="J34" s="44">
        <v>0.33008692441883963</v>
      </c>
      <c r="K34" s="44">
        <v>0.19592437409026345</v>
      </c>
      <c r="L34" s="45">
        <v>0.22430830972248131</v>
      </c>
    </row>
    <row r="35" spans="1:12" ht="15" customHeight="1" x14ac:dyDescent="0.3">
      <c r="A35" s="40">
        <v>23</v>
      </c>
      <c r="B35" s="41" t="s">
        <v>33</v>
      </c>
      <c r="C35" s="42">
        <v>0.17916446177110151</v>
      </c>
      <c r="D35" s="48">
        <v>0.12851902809982563</v>
      </c>
      <c r="E35" s="44">
        <v>0.16573260519847824</v>
      </c>
      <c r="F35" s="44">
        <v>7.1729554193368503E-2</v>
      </c>
      <c r="G35" s="45">
        <v>0.19811684528392695</v>
      </c>
      <c r="I35" s="47">
        <v>0.14465277297749282</v>
      </c>
      <c r="J35" s="44">
        <v>0.1977002062449103</v>
      </c>
      <c r="K35" s="44">
        <v>7.5296942059711172E-2</v>
      </c>
      <c r="L35" s="45">
        <v>0.21782155335133591</v>
      </c>
    </row>
    <row r="36" spans="1:12" x14ac:dyDescent="0.3">
      <c r="A36" s="40">
        <v>24</v>
      </c>
      <c r="B36" s="41" t="s">
        <v>34</v>
      </c>
      <c r="C36" s="42">
        <v>-6.3847306915676527E-2</v>
      </c>
      <c r="D36" s="48">
        <v>0.21692228790811771</v>
      </c>
      <c r="E36" s="44">
        <v>0.45671911530227416</v>
      </c>
      <c r="F36" s="44">
        <v>1.3663115985165947E-2</v>
      </c>
      <c r="G36" s="45">
        <v>3.8097545862737473E-3</v>
      </c>
      <c r="I36" s="47">
        <v>0.21923715516628856</v>
      </c>
      <c r="J36" s="44">
        <v>0.46099129096252295</v>
      </c>
      <c r="K36" s="44">
        <v>1.3803265912725002E-2</v>
      </c>
      <c r="L36" s="49">
        <v>7.1589516154703706E-4</v>
      </c>
    </row>
    <row r="37" spans="1:12" ht="15" customHeight="1" x14ac:dyDescent="0.3">
      <c r="A37" s="20"/>
      <c r="B37" s="21" t="s">
        <v>35</v>
      </c>
      <c r="C37" s="50"/>
      <c r="D37" s="51"/>
      <c r="E37" s="50"/>
      <c r="F37" s="50"/>
      <c r="G37" s="52"/>
      <c r="I37" s="25"/>
      <c r="J37" s="22"/>
      <c r="K37" s="22"/>
      <c r="L37" s="26"/>
    </row>
    <row r="38" spans="1:12" ht="15" customHeight="1" x14ac:dyDescent="0.3">
      <c r="A38" s="40">
        <v>25</v>
      </c>
      <c r="B38" s="41" t="s">
        <v>36</v>
      </c>
      <c r="C38" s="42">
        <v>0.43477256414539994</v>
      </c>
      <c r="D38" s="43">
        <v>0.31885440522479719</v>
      </c>
      <c r="E38" s="42">
        <v>0.30389736031573039</v>
      </c>
      <c r="F38" s="42">
        <v>0.29350158542437188</v>
      </c>
      <c r="G38" s="53">
        <v>0.3386761471620201</v>
      </c>
      <c r="I38" s="54">
        <v>0.35278899881582926</v>
      </c>
      <c r="J38" s="42">
        <v>0.32247973720512596</v>
      </c>
      <c r="K38" s="42">
        <v>0.44772812081063196</v>
      </c>
      <c r="L38" s="53">
        <v>0.35465761211009106</v>
      </c>
    </row>
    <row r="39" spans="1:12" ht="15" customHeight="1" x14ac:dyDescent="0.3">
      <c r="A39" s="40">
        <v>26</v>
      </c>
      <c r="B39" s="41" t="s">
        <v>37</v>
      </c>
      <c r="C39" s="42">
        <v>0.35805597760042157</v>
      </c>
      <c r="D39" s="43">
        <v>0.23993483258730672</v>
      </c>
      <c r="E39" s="42">
        <v>0.24984852116194686</v>
      </c>
      <c r="F39" s="42">
        <v>0.12176629689799584</v>
      </c>
      <c r="G39" s="53">
        <v>0.13719579619933858</v>
      </c>
      <c r="I39" s="54">
        <v>0.2688375631872657</v>
      </c>
      <c r="J39" s="42">
        <v>0.2686654432456681</v>
      </c>
      <c r="K39" s="42">
        <v>0.16477854600384689</v>
      </c>
      <c r="L39" s="53">
        <v>0.13308155848890119</v>
      </c>
    </row>
    <row r="40" spans="1:12" ht="15" customHeight="1" x14ac:dyDescent="0.3">
      <c r="A40" s="40">
        <v>27</v>
      </c>
      <c r="B40" s="55" t="s">
        <v>38</v>
      </c>
      <c r="C40" s="42">
        <v>0.12064636343155606</v>
      </c>
      <c r="D40" s="43">
        <v>0.12827975782739554</v>
      </c>
      <c r="E40" s="42">
        <v>0.11984303846411777</v>
      </c>
      <c r="F40" s="42">
        <v>6.7468530308370994E-2</v>
      </c>
      <c r="G40" s="53">
        <v>0.11937049650141793</v>
      </c>
      <c r="I40" s="54">
        <v>0.14195045816821317</v>
      </c>
      <c r="J40" s="42">
        <v>0.12465381841449046</v>
      </c>
      <c r="K40" s="42">
        <v>8.4388384081508658E-2</v>
      </c>
      <c r="L40" s="53">
        <v>0.1256366601234441</v>
      </c>
    </row>
    <row r="41" spans="1:12" ht="15" customHeight="1" x14ac:dyDescent="0.3">
      <c r="A41" s="56"/>
      <c r="B41" s="21" t="s">
        <v>39</v>
      </c>
      <c r="C41" s="22"/>
      <c r="D41" s="23"/>
      <c r="E41" s="22"/>
      <c r="F41" s="22"/>
      <c r="G41" s="26"/>
      <c r="I41" s="25"/>
      <c r="J41" s="22"/>
      <c r="K41" s="22"/>
      <c r="L41" s="26"/>
    </row>
    <row r="42" spans="1:12" ht="15" customHeight="1" x14ac:dyDescent="0.3">
      <c r="A42" s="40">
        <v>28</v>
      </c>
      <c r="B42" s="57" t="s">
        <v>40</v>
      </c>
      <c r="C42" s="906">
        <v>36068071.213978499</v>
      </c>
      <c r="D42" s="900">
        <v>28839575.869999997</v>
      </c>
      <c r="E42" s="900">
        <v>39070286.440000005</v>
      </c>
      <c r="F42" s="900">
        <v>37577645.133626401</v>
      </c>
      <c r="G42" s="904">
        <v>33641079.189999998</v>
      </c>
      <c r="I42" s="58">
        <v>28839575.869999997</v>
      </c>
      <c r="J42" s="55">
        <v>39070286.440000005</v>
      </c>
      <c r="K42" s="55">
        <v>37577645.133626401</v>
      </c>
      <c r="L42" s="59">
        <v>33641079.189999998</v>
      </c>
    </row>
    <row r="43" spans="1:12" x14ac:dyDescent="0.3">
      <c r="A43" s="40">
        <v>29</v>
      </c>
      <c r="B43" s="41" t="s">
        <v>41</v>
      </c>
      <c r="C43" s="906">
        <v>12130233.89205</v>
      </c>
      <c r="D43" s="901">
        <v>9804896.4565543793</v>
      </c>
      <c r="E43" s="901">
        <v>12941555.097129401</v>
      </c>
      <c r="F43" s="901">
        <v>12843456.669500001</v>
      </c>
      <c r="G43" s="905">
        <v>11987456</v>
      </c>
      <c r="I43" s="60">
        <v>12047888.378249999</v>
      </c>
      <c r="J43" s="61">
        <v>13254812.613400001</v>
      </c>
      <c r="K43" s="61">
        <v>12869564.5162</v>
      </c>
      <c r="L43" s="62">
        <v>11877040.71415</v>
      </c>
    </row>
    <row r="44" spans="1:12" x14ac:dyDescent="0.3">
      <c r="A44" s="63">
        <v>30</v>
      </c>
      <c r="B44" s="64" t="s">
        <v>42</v>
      </c>
      <c r="C44" s="907">
        <v>2.9734027830755227</v>
      </c>
      <c r="D44" s="902">
        <v>2.9413442556776119</v>
      </c>
      <c r="E44" s="902">
        <v>3.0189792607432691</v>
      </c>
      <c r="F44" s="902">
        <v>2.9258202134059372</v>
      </c>
      <c r="G44" s="902">
        <v>2.8063568441877909</v>
      </c>
      <c r="I44" s="54">
        <v>2.3937452742394227</v>
      </c>
      <c r="J44" s="42">
        <v>2.9476302366207543</v>
      </c>
      <c r="K44" s="42">
        <v>2.9198847471741773</v>
      </c>
      <c r="L44" s="53">
        <v>2.8324462296336899</v>
      </c>
    </row>
    <row r="45" spans="1:12" x14ac:dyDescent="0.3">
      <c r="A45" s="63"/>
      <c r="B45" s="21" t="s">
        <v>43</v>
      </c>
      <c r="C45" s="22"/>
      <c r="D45" s="22"/>
      <c r="E45" s="22"/>
      <c r="F45" s="22"/>
      <c r="G45" s="26"/>
      <c r="I45" s="25"/>
      <c r="J45" s="22"/>
      <c r="K45" s="22"/>
      <c r="L45" s="26"/>
    </row>
    <row r="46" spans="1:12" x14ac:dyDescent="0.3">
      <c r="A46" s="63">
        <v>31</v>
      </c>
      <c r="B46" s="64" t="s">
        <v>44</v>
      </c>
      <c r="C46" s="33">
        <v>63614640.219067007</v>
      </c>
      <c r="D46" s="903">
        <v>65163981.272780247</v>
      </c>
      <c r="E46" s="65">
        <v>63066144.908153526</v>
      </c>
      <c r="F46" s="65">
        <v>60738930.090649277</v>
      </c>
      <c r="G46" s="908">
        <v>64698900.44878599</v>
      </c>
      <c r="I46" s="66">
        <v>61318055.754500002</v>
      </c>
      <c r="J46" s="67">
        <v>57487096.908499993</v>
      </c>
      <c r="K46" s="67">
        <v>56004417.652500004</v>
      </c>
      <c r="L46" s="68">
        <v>60000891.506999999</v>
      </c>
    </row>
    <row r="47" spans="1:12" x14ac:dyDescent="0.3">
      <c r="A47" s="63">
        <v>32</v>
      </c>
      <c r="B47" s="64" t="s">
        <v>45</v>
      </c>
      <c r="C47" s="33">
        <v>37545109.733712941</v>
      </c>
      <c r="D47" s="903">
        <v>39796533.186461464</v>
      </c>
      <c r="E47" s="65">
        <v>41083635.106911853</v>
      </c>
      <c r="F47" s="65">
        <v>34610925.920043275</v>
      </c>
      <c r="G47" s="908">
        <v>35016449.130247124</v>
      </c>
      <c r="I47" s="66">
        <v>36598605.940775007</v>
      </c>
      <c r="J47" s="67">
        <v>39372851.676900022</v>
      </c>
      <c r="K47" s="67">
        <v>31849325.489900008</v>
      </c>
      <c r="L47" s="68">
        <v>31615845.140500002</v>
      </c>
    </row>
    <row r="48" spans="1:12" ht="15" thickBot="1" x14ac:dyDescent="0.35">
      <c r="A48" s="69">
        <v>33</v>
      </c>
      <c r="B48" s="70" t="s">
        <v>46</v>
      </c>
      <c r="C48" s="71">
        <v>1.6943522251033778</v>
      </c>
      <c r="D48" s="72">
        <v>1.6374285912660511</v>
      </c>
      <c r="E48" s="73">
        <v>1.5350673022004171</v>
      </c>
      <c r="F48" s="73">
        <v>1.7549062463964655</v>
      </c>
      <c r="G48" s="909">
        <v>1.847671653060311</v>
      </c>
      <c r="I48" s="74">
        <v>1.6754205297799258</v>
      </c>
      <c r="J48" s="75">
        <v>1.4600694249999566</v>
      </c>
      <c r="K48" s="75">
        <v>1.7584176993092053</v>
      </c>
      <c r="L48" s="76">
        <v>1.8978107730588123</v>
      </c>
    </row>
    <row r="49" spans="1:2" x14ac:dyDescent="0.3">
      <c r="A49" s="77"/>
    </row>
    <row r="50" spans="1:2" ht="55.2" x14ac:dyDescent="0.3">
      <c r="B50" s="79" t="s">
        <v>47</v>
      </c>
    </row>
    <row r="51" spans="1:2" ht="110.4" x14ac:dyDescent="0.3">
      <c r="B51" s="80" t="s">
        <v>48</v>
      </c>
    </row>
  </sheetData>
  <mergeCells count="2">
    <mergeCell ref="D4:G4"/>
    <mergeCell ref="I4:L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B193-5C62-4F87-A06B-3E589F3E956E}">
  <dimension ref="A1:J39"/>
  <sheetViews>
    <sheetView showGridLines="0" topLeftCell="C1" zoomScale="115" zoomScaleNormal="115" workbookViewId="0">
      <selection activeCell="C8" sqref="C8:H22"/>
    </sheetView>
  </sheetViews>
  <sheetFormatPr defaultColWidth="9.109375" defaultRowHeight="12" x14ac:dyDescent="0.25"/>
  <cols>
    <col min="1" max="1" width="11.88671875" style="586" bestFit="1" customWidth="1"/>
    <col min="2" max="2" width="92.33203125" style="586" customWidth="1"/>
    <col min="3" max="4" width="15.33203125" style="586" customWidth="1"/>
    <col min="5" max="5" width="17.44140625" style="586" bestFit="1" customWidth="1"/>
    <col min="6" max="6" width="15.88671875" style="586" customWidth="1"/>
    <col min="7" max="7" width="19.33203125" style="586" customWidth="1"/>
    <col min="8" max="8" width="14.44140625" style="586" customWidth="1"/>
    <col min="9" max="9" width="12.33203125" style="586" bestFit="1" customWidth="1"/>
    <col min="10" max="10" width="10.109375" style="586" bestFit="1" customWidth="1"/>
    <col min="11" max="16384" width="9.109375" style="586"/>
  </cols>
  <sheetData>
    <row r="1" spans="1:10" ht="13.8" x14ac:dyDescent="0.3">
      <c r="A1" s="585" t="s">
        <v>0</v>
      </c>
      <c r="B1" s="2" t="s">
        <v>199</v>
      </c>
    </row>
    <row r="2" spans="1:10" x14ac:dyDescent="0.25">
      <c r="A2" s="585" t="s">
        <v>1</v>
      </c>
      <c r="B2" s="587">
        <f>'1. key ratios'!B2</f>
        <v>45016</v>
      </c>
    </row>
    <row r="3" spans="1:10" x14ac:dyDescent="0.25">
      <c r="A3" s="588" t="s">
        <v>539</v>
      </c>
    </row>
    <row r="5" spans="1:10" x14ac:dyDescent="0.25">
      <c r="A5" s="589" t="s">
        <v>540</v>
      </c>
      <c r="B5" s="590"/>
      <c r="C5" s="591" t="s">
        <v>541</v>
      </c>
      <c r="D5" s="592"/>
      <c r="E5" s="592"/>
      <c r="F5" s="592"/>
      <c r="G5" s="592"/>
      <c r="H5" s="593"/>
    </row>
    <row r="6" spans="1:10" x14ac:dyDescent="0.25">
      <c r="A6" s="594"/>
      <c r="B6" s="595"/>
      <c r="C6" s="596"/>
      <c r="D6" s="597"/>
      <c r="E6" s="597"/>
      <c r="F6" s="597"/>
      <c r="G6" s="597"/>
      <c r="H6" s="598"/>
    </row>
    <row r="7" spans="1:10" ht="24" x14ac:dyDescent="0.25">
      <c r="A7" s="599"/>
      <c r="B7" s="600"/>
      <c r="C7" s="601" t="s">
        <v>542</v>
      </c>
      <c r="D7" s="601" t="s">
        <v>543</v>
      </c>
      <c r="E7" s="601" t="s">
        <v>544</v>
      </c>
      <c r="F7" s="601" t="s">
        <v>545</v>
      </c>
      <c r="G7" s="601" t="s">
        <v>546</v>
      </c>
      <c r="H7" s="601" t="s">
        <v>54</v>
      </c>
    </row>
    <row r="8" spans="1:10" x14ac:dyDescent="0.25">
      <c r="A8" s="602">
        <v>1</v>
      </c>
      <c r="B8" s="603" t="s">
        <v>382</v>
      </c>
      <c r="C8" s="607">
        <v>1079361.8000000021</v>
      </c>
      <c r="D8" s="607">
        <v>3482339.3185793404</v>
      </c>
      <c r="E8" s="607">
        <v>22384284.165724192</v>
      </c>
      <c r="F8" s="607">
        <v>1385511.2237013041</v>
      </c>
      <c r="G8" s="605"/>
      <c r="H8" s="604">
        <f t="shared" ref="H8:H21" si="0">SUM(C8:G8)</f>
        <v>28331496.50800484</v>
      </c>
      <c r="I8" s="606"/>
    </row>
    <row r="9" spans="1:10" x14ac:dyDescent="0.25">
      <c r="A9" s="602">
        <v>2</v>
      </c>
      <c r="B9" s="603" t="s">
        <v>383</v>
      </c>
      <c r="C9" s="940"/>
      <c r="D9" s="940"/>
      <c r="E9" s="940"/>
      <c r="F9" s="940"/>
      <c r="G9" s="605"/>
      <c r="H9" s="604">
        <f t="shared" si="0"/>
        <v>0</v>
      </c>
      <c r="I9" s="606"/>
    </row>
    <row r="10" spans="1:10" x14ac:dyDescent="0.25">
      <c r="A10" s="602">
        <v>3</v>
      </c>
      <c r="B10" s="603" t="s">
        <v>384</v>
      </c>
      <c r="C10" s="940"/>
      <c r="D10" s="940"/>
      <c r="E10" s="940"/>
      <c r="F10" s="940"/>
      <c r="G10" s="605"/>
      <c r="H10" s="604">
        <f t="shared" si="0"/>
        <v>0</v>
      </c>
      <c r="I10" s="606"/>
    </row>
    <row r="11" spans="1:10" x14ac:dyDescent="0.25">
      <c r="A11" s="602">
        <v>4</v>
      </c>
      <c r="B11" s="603" t="s">
        <v>385</v>
      </c>
      <c r="C11" s="940"/>
      <c r="D11" s="940"/>
      <c r="E11" s="940"/>
      <c r="F11" s="940"/>
      <c r="G11" s="605"/>
      <c r="H11" s="604">
        <f t="shared" si="0"/>
        <v>0</v>
      </c>
      <c r="I11" s="606"/>
      <c r="J11" s="606"/>
    </row>
    <row r="12" spans="1:10" x14ac:dyDescent="0.25">
      <c r="A12" s="602">
        <v>5</v>
      </c>
      <c r="B12" s="603" t="s">
        <v>386</v>
      </c>
      <c r="C12" s="940"/>
      <c r="D12" s="940"/>
      <c r="E12" s="940"/>
      <c r="F12" s="940"/>
      <c r="G12" s="605"/>
      <c r="H12" s="604">
        <f t="shared" si="0"/>
        <v>0</v>
      </c>
      <c r="I12" s="606"/>
    </row>
    <row r="13" spans="1:10" x14ac:dyDescent="0.25">
      <c r="A13" s="602">
        <v>6</v>
      </c>
      <c r="B13" s="603" t="s">
        <v>387</v>
      </c>
      <c r="C13" s="607">
        <v>2949847.370000001</v>
      </c>
      <c r="D13" s="607">
        <v>3500000</v>
      </c>
      <c r="E13" s="940"/>
      <c r="F13" s="607">
        <v>25604</v>
      </c>
      <c r="G13" s="605"/>
      <c r="H13" s="604">
        <f t="shared" si="0"/>
        <v>6475451.370000001</v>
      </c>
      <c r="I13" s="606"/>
      <c r="J13" s="608"/>
    </row>
    <row r="14" spans="1:10" x14ac:dyDescent="0.25">
      <c r="A14" s="602">
        <v>7</v>
      </c>
      <c r="B14" s="603" t="s">
        <v>388</v>
      </c>
      <c r="C14" s="605"/>
      <c r="D14" s="604">
        <v>735092.80361748033</v>
      </c>
      <c r="E14" s="604">
        <v>4168100.6518975794</v>
      </c>
      <c r="F14" s="604">
        <v>5861532.5826781783</v>
      </c>
      <c r="G14" s="609">
        <v>0</v>
      </c>
      <c r="H14" s="604">
        <f t="shared" si="0"/>
        <v>10764726.038193237</v>
      </c>
      <c r="I14" s="606"/>
      <c r="J14" s="610"/>
    </row>
    <row r="15" spans="1:10" x14ac:dyDescent="0.25">
      <c r="A15" s="602">
        <v>8</v>
      </c>
      <c r="B15" s="611" t="s">
        <v>389</v>
      </c>
      <c r="C15" s="605"/>
      <c r="D15" s="604">
        <v>307107.64309208788</v>
      </c>
      <c r="E15" s="604">
        <v>4115937.4643808599</v>
      </c>
      <c r="F15" s="604">
        <v>2332412.4171533561</v>
      </c>
      <c r="G15" s="604">
        <v>23570.356620981391</v>
      </c>
      <c r="H15" s="604">
        <f>SUM(C15:G15)</f>
        <v>6779027.8812472848</v>
      </c>
      <c r="I15" s="606"/>
    </row>
    <row r="16" spans="1:10" x14ac:dyDescent="0.25">
      <c r="A16" s="602">
        <v>9</v>
      </c>
      <c r="B16" s="603" t="s">
        <v>390</v>
      </c>
      <c r="C16" s="605"/>
      <c r="D16" s="604"/>
      <c r="E16" s="604"/>
      <c r="F16" s="604"/>
      <c r="G16" s="605"/>
      <c r="H16" s="604">
        <f t="shared" si="0"/>
        <v>0</v>
      </c>
    </row>
    <row r="17" spans="1:10" x14ac:dyDescent="0.25">
      <c r="A17" s="602">
        <v>10</v>
      </c>
      <c r="B17" s="612" t="s">
        <v>391</v>
      </c>
      <c r="C17" s="605"/>
      <c r="D17" s="604">
        <v>694170.41837258521</v>
      </c>
      <c r="E17" s="604">
        <v>12589.435223878807</v>
      </c>
      <c r="F17" s="604">
        <v>0</v>
      </c>
      <c r="G17" s="604">
        <v>554.8618064367439</v>
      </c>
      <c r="H17" s="604">
        <f t="shared" si="0"/>
        <v>707314.71540290082</v>
      </c>
      <c r="I17" s="606"/>
      <c r="J17" s="606"/>
    </row>
    <row r="18" spans="1:10" x14ac:dyDescent="0.25">
      <c r="A18" s="602">
        <v>11</v>
      </c>
      <c r="B18" s="603" t="s">
        <v>392</v>
      </c>
      <c r="C18" s="605"/>
      <c r="D18" s="609">
        <v>0</v>
      </c>
      <c r="E18" s="609">
        <v>0</v>
      </c>
      <c r="F18" s="605">
        <v>0</v>
      </c>
      <c r="G18" s="609">
        <v>0</v>
      </c>
      <c r="H18" s="604">
        <f t="shared" si="0"/>
        <v>0</v>
      </c>
      <c r="I18" s="606"/>
    </row>
    <row r="19" spans="1:10" x14ac:dyDescent="0.25">
      <c r="A19" s="602">
        <v>12</v>
      </c>
      <c r="B19" s="603" t="s">
        <v>393</v>
      </c>
      <c r="C19" s="605"/>
      <c r="D19" s="605"/>
      <c r="E19" s="605"/>
      <c r="F19" s="605"/>
      <c r="G19" s="605"/>
      <c r="H19" s="604">
        <f t="shared" si="0"/>
        <v>0</v>
      </c>
    </row>
    <row r="20" spans="1:10" x14ac:dyDescent="0.25">
      <c r="A20" s="613">
        <v>13</v>
      </c>
      <c r="B20" s="611" t="s">
        <v>394</v>
      </c>
      <c r="C20" s="605"/>
      <c r="D20" s="605"/>
      <c r="E20" s="605"/>
      <c r="F20" s="605"/>
      <c r="G20" s="605"/>
      <c r="H20" s="604">
        <f t="shared" si="0"/>
        <v>0</v>
      </c>
    </row>
    <row r="21" spans="1:10" x14ac:dyDescent="0.25">
      <c r="A21" s="602">
        <v>14</v>
      </c>
      <c r="B21" s="603" t="s">
        <v>395</v>
      </c>
      <c r="C21" s="614">
        <f>'2. SOFP'!E8</f>
        <v>2571824.58</v>
      </c>
      <c r="D21" s="614">
        <v>4621358.5017926171</v>
      </c>
      <c r="E21" s="605"/>
      <c r="F21" s="605"/>
      <c r="G21" s="604">
        <v>19175030</v>
      </c>
      <c r="H21" s="604">
        <f t="shared" si="0"/>
        <v>26368213.081792615</v>
      </c>
      <c r="I21" s="606"/>
    </row>
    <row r="22" spans="1:10" x14ac:dyDescent="0.25">
      <c r="A22" s="615">
        <v>15</v>
      </c>
      <c r="B22" s="605" t="s">
        <v>54</v>
      </c>
      <c r="C22" s="604">
        <f t="shared" ref="C22:H22" si="1">SUM(C18:C21)+SUM(C8:C16)</f>
        <v>6601033.7500000037</v>
      </c>
      <c r="D22" s="604">
        <f t="shared" si="1"/>
        <v>12645898.267081525</v>
      </c>
      <c r="E22" s="604">
        <f t="shared" si="1"/>
        <v>30668322.282002632</v>
      </c>
      <c r="F22" s="604">
        <f t="shared" si="1"/>
        <v>9605060.2235328387</v>
      </c>
      <c r="G22" s="604">
        <f t="shared" si="1"/>
        <v>19198600.356620982</v>
      </c>
      <c r="H22" s="604">
        <f t="shared" si="1"/>
        <v>78718914.87923798</v>
      </c>
    </row>
    <row r="23" spans="1:10" x14ac:dyDescent="0.25">
      <c r="H23" s="941"/>
    </row>
    <row r="26" spans="1:10" ht="36" x14ac:dyDescent="0.25">
      <c r="B26" s="616" t="s">
        <v>547</v>
      </c>
      <c r="C26" s="942"/>
      <c r="D26" s="942"/>
      <c r="E26" s="942"/>
      <c r="F26" s="942"/>
      <c r="G26" s="942"/>
      <c r="H26" s="942"/>
      <c r="I26" s="942"/>
    </row>
    <row r="27" spans="1:10" x14ac:dyDescent="0.25">
      <c r="C27" s="942"/>
      <c r="D27" s="942"/>
      <c r="E27" s="942"/>
      <c r="F27" s="942"/>
      <c r="G27" s="942"/>
      <c r="H27" s="942"/>
      <c r="I27" s="942"/>
    </row>
    <row r="28" spans="1:10" x14ac:dyDescent="0.25">
      <c r="C28" s="942"/>
      <c r="D28" s="942"/>
      <c r="E28" s="942"/>
      <c r="F28" s="942"/>
      <c r="G28" s="942"/>
      <c r="H28" s="942"/>
      <c r="I28" s="942"/>
    </row>
    <row r="29" spans="1:10" x14ac:dyDescent="0.25">
      <c r="C29" s="942"/>
      <c r="D29" s="942"/>
      <c r="E29" s="942"/>
      <c r="F29" s="942"/>
      <c r="G29" s="942"/>
      <c r="H29" s="942"/>
      <c r="I29" s="942"/>
    </row>
    <row r="30" spans="1:10" x14ac:dyDescent="0.25">
      <c r="C30" s="942"/>
      <c r="D30" s="942"/>
      <c r="E30" s="942"/>
      <c r="F30" s="942"/>
      <c r="G30" s="942"/>
      <c r="H30" s="942"/>
      <c r="I30" s="942"/>
    </row>
    <row r="31" spans="1:10" x14ac:dyDescent="0.25">
      <c r="C31" s="942"/>
      <c r="D31" s="942"/>
      <c r="E31" s="942"/>
      <c r="F31" s="942"/>
      <c r="G31" s="942"/>
      <c r="H31" s="942"/>
      <c r="I31" s="942"/>
    </row>
    <row r="32" spans="1:10" x14ac:dyDescent="0.25">
      <c r="C32" s="942"/>
      <c r="D32" s="942"/>
      <c r="E32" s="942"/>
      <c r="F32" s="942"/>
      <c r="G32" s="942"/>
      <c r="H32" s="942"/>
      <c r="I32" s="942"/>
    </row>
    <row r="33" spans="2:9" x14ac:dyDescent="0.25">
      <c r="C33" s="942"/>
      <c r="D33" s="942"/>
      <c r="E33" s="942"/>
      <c r="F33" s="942"/>
      <c r="G33" s="942"/>
      <c r="H33" s="942"/>
      <c r="I33" s="942"/>
    </row>
    <row r="34" spans="2:9" x14ac:dyDescent="0.25">
      <c r="C34" s="942"/>
      <c r="D34" s="942"/>
      <c r="E34" s="942"/>
      <c r="F34" s="942"/>
      <c r="G34" s="942"/>
      <c r="H34" s="942"/>
      <c r="I34" s="942"/>
    </row>
    <row r="35" spans="2:9" x14ac:dyDescent="0.25">
      <c r="B35" s="942"/>
      <c r="C35" s="942"/>
      <c r="D35" s="943"/>
      <c r="E35" s="943"/>
      <c r="F35" s="943"/>
      <c r="G35" s="943"/>
      <c r="H35" s="942"/>
      <c r="I35" s="942"/>
    </row>
    <row r="36" spans="2:9" x14ac:dyDescent="0.25">
      <c r="B36" s="942"/>
      <c r="C36" s="942"/>
      <c r="D36" s="944"/>
      <c r="E36" s="943"/>
      <c r="F36" s="942"/>
      <c r="G36" s="943"/>
      <c r="H36" s="942"/>
      <c r="I36" s="942"/>
    </row>
    <row r="37" spans="2:9" x14ac:dyDescent="0.25">
      <c r="C37" s="942"/>
      <c r="D37" s="943"/>
      <c r="E37" s="943"/>
      <c r="F37" s="943"/>
      <c r="G37" s="943"/>
      <c r="H37" s="942"/>
      <c r="I37" s="942"/>
    </row>
    <row r="38" spans="2:9" x14ac:dyDescent="0.25">
      <c r="C38" s="942"/>
      <c r="D38" s="942"/>
      <c r="E38" s="942"/>
      <c r="F38" s="942"/>
      <c r="G38" s="942"/>
      <c r="H38" s="942"/>
      <c r="I38" s="942"/>
    </row>
    <row r="39" spans="2:9" x14ac:dyDescent="0.25">
      <c r="C39" s="942"/>
      <c r="D39" s="942"/>
      <c r="E39" s="942"/>
      <c r="F39" s="942"/>
      <c r="G39" s="942"/>
      <c r="H39" s="942"/>
      <c r="I39" s="942"/>
    </row>
  </sheetData>
  <mergeCells count="2">
    <mergeCell ref="A5:B7"/>
    <mergeCell ref="C5:H6"/>
  </mergeCells>
  <conditionalFormatting sqref="A5">
    <cfRule type="duplicateValues" dxfId="26" priority="1"/>
    <cfRule type="duplicateValues" dxfId="25" priority="2"/>
    <cfRule type="duplicateValues" dxfId="24"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0E767-2879-4187-9341-5302D367EDAC}">
  <dimension ref="A1:K24"/>
  <sheetViews>
    <sheetView showGridLines="0" topLeftCell="D1" zoomScaleNormal="100" workbookViewId="0">
      <selection activeCell="G7" sqref="C7:G23"/>
    </sheetView>
  </sheetViews>
  <sheetFormatPr defaultColWidth="9.109375" defaultRowHeight="12" x14ac:dyDescent="0.25"/>
  <cols>
    <col min="1" max="1" width="11.88671875" style="641" bestFit="1" customWidth="1"/>
    <col min="2" max="2" width="86.88671875" style="586" customWidth="1"/>
    <col min="3" max="4" width="31.5546875" style="586" customWidth="1"/>
    <col min="5" max="7" width="22.109375" style="586" customWidth="1"/>
    <col min="8" max="8" width="41.44140625" style="586" customWidth="1"/>
    <col min="9" max="9" width="13.5546875" style="942" customWidth="1"/>
    <col min="10" max="11" width="9.109375" style="942"/>
    <col min="12" max="16384" width="9.109375" style="586"/>
  </cols>
  <sheetData>
    <row r="1" spans="1:9" ht="13.8" x14ac:dyDescent="0.3">
      <c r="A1" s="585" t="s">
        <v>0</v>
      </c>
      <c r="B1" s="2" t="s">
        <v>199</v>
      </c>
      <c r="C1" s="617"/>
      <c r="D1" s="617"/>
      <c r="E1" s="617"/>
      <c r="F1" s="617"/>
      <c r="G1" s="617"/>
      <c r="H1" s="617"/>
    </row>
    <row r="2" spans="1:9" x14ac:dyDescent="0.25">
      <c r="A2" s="585" t="s">
        <v>1</v>
      </c>
      <c r="B2" s="587">
        <f>'1. key ratios'!B2</f>
        <v>45016</v>
      </c>
      <c r="C2" s="617"/>
      <c r="D2" s="617"/>
      <c r="E2" s="617"/>
      <c r="F2" s="617"/>
      <c r="G2" s="617"/>
      <c r="H2" s="617"/>
    </row>
    <row r="3" spans="1:9" x14ac:dyDescent="0.25">
      <c r="A3" s="588" t="s">
        <v>548</v>
      </c>
      <c r="B3" s="617"/>
      <c r="C3" s="617"/>
      <c r="D3" s="617"/>
      <c r="E3" s="617"/>
      <c r="F3" s="617"/>
      <c r="G3" s="617"/>
      <c r="H3" s="617"/>
    </row>
    <row r="4" spans="1:9" x14ac:dyDescent="0.25">
      <c r="A4" s="618"/>
      <c r="B4" s="617"/>
      <c r="C4" s="619" t="s">
        <v>549</v>
      </c>
      <c r="D4" s="619" t="s">
        <v>550</v>
      </c>
      <c r="E4" s="619" t="s">
        <v>551</v>
      </c>
      <c r="F4" s="619" t="s">
        <v>552</v>
      </c>
      <c r="G4" s="619" t="s">
        <v>553</v>
      </c>
      <c r="H4" s="619" t="s">
        <v>554</v>
      </c>
    </row>
    <row r="5" spans="1:9" ht="33.9" customHeight="1" x14ac:dyDescent="0.25">
      <c r="A5" s="589" t="s">
        <v>555</v>
      </c>
      <c r="B5" s="590"/>
      <c r="C5" s="620" t="s">
        <v>556</v>
      </c>
      <c r="D5" s="620"/>
      <c r="E5" s="620" t="s">
        <v>557</v>
      </c>
      <c r="F5" s="621" t="s">
        <v>558</v>
      </c>
      <c r="G5" s="621" t="s">
        <v>559</v>
      </c>
      <c r="H5" s="622" t="s">
        <v>560</v>
      </c>
    </row>
    <row r="6" spans="1:9" ht="24" x14ac:dyDescent="0.25">
      <c r="A6" s="599"/>
      <c r="B6" s="600"/>
      <c r="C6" s="623" t="s">
        <v>561</v>
      </c>
      <c r="D6" s="623" t="s">
        <v>562</v>
      </c>
      <c r="E6" s="620"/>
      <c r="F6" s="624"/>
      <c r="G6" s="624"/>
      <c r="H6" s="622" t="s">
        <v>563</v>
      </c>
    </row>
    <row r="7" spans="1:9" x14ac:dyDescent="0.25">
      <c r="A7" s="625">
        <v>1</v>
      </c>
      <c r="B7" s="603" t="s">
        <v>382</v>
      </c>
      <c r="C7" s="626"/>
      <c r="D7" s="948">
        <v>28410456.090000004</v>
      </c>
      <c r="E7" s="948">
        <v>78959.581995166198</v>
      </c>
      <c r="F7" s="627"/>
      <c r="G7" s="627"/>
      <c r="H7" s="628">
        <f t="shared" ref="H7:H20" si="0">C7+D7-E7-F7</f>
        <v>28331496.508004837</v>
      </c>
      <c r="I7" s="945"/>
    </row>
    <row r="8" spans="1:9" ht="24" x14ac:dyDescent="0.25">
      <c r="A8" s="625">
        <v>2</v>
      </c>
      <c r="B8" s="603" t="s">
        <v>383</v>
      </c>
      <c r="C8" s="626"/>
      <c r="D8" s="626">
        <v>0</v>
      </c>
      <c r="E8" s="627"/>
      <c r="F8" s="627"/>
      <c r="G8" s="627"/>
      <c r="H8" s="628">
        <f t="shared" si="0"/>
        <v>0</v>
      </c>
      <c r="I8" s="945"/>
    </row>
    <row r="9" spans="1:9" x14ac:dyDescent="0.25">
      <c r="A9" s="625">
        <v>3</v>
      </c>
      <c r="B9" s="603" t="s">
        <v>384</v>
      </c>
      <c r="C9" s="626"/>
      <c r="D9" s="626">
        <v>0</v>
      </c>
      <c r="E9" s="627"/>
      <c r="F9" s="627"/>
      <c r="G9" s="627"/>
      <c r="H9" s="628">
        <f t="shared" si="0"/>
        <v>0</v>
      </c>
      <c r="I9" s="945"/>
    </row>
    <row r="10" spans="1:9" x14ac:dyDescent="0.25">
      <c r="A10" s="625">
        <v>4</v>
      </c>
      <c r="B10" s="603" t="s">
        <v>385</v>
      </c>
      <c r="C10" s="626"/>
      <c r="D10" s="626">
        <v>0</v>
      </c>
      <c r="E10" s="627"/>
      <c r="F10" s="627"/>
      <c r="G10" s="627"/>
      <c r="H10" s="628">
        <f t="shared" si="0"/>
        <v>0</v>
      </c>
      <c r="I10" s="945"/>
    </row>
    <row r="11" spans="1:9" x14ac:dyDescent="0.25">
      <c r="A11" s="625">
        <v>5</v>
      </c>
      <c r="B11" s="603" t="s">
        <v>386</v>
      </c>
      <c r="C11" s="626"/>
      <c r="D11" s="626">
        <v>0</v>
      </c>
      <c r="E11" s="627"/>
      <c r="F11" s="627"/>
      <c r="G11" s="627"/>
      <c r="H11" s="628">
        <f t="shared" si="0"/>
        <v>0</v>
      </c>
      <c r="I11" s="945"/>
    </row>
    <row r="12" spans="1:9" x14ac:dyDescent="0.25">
      <c r="A12" s="625">
        <v>6</v>
      </c>
      <c r="B12" s="603" t="s">
        <v>387</v>
      </c>
      <c r="C12" s="629"/>
      <c r="D12" s="629">
        <v>6475451.370000001</v>
      </c>
      <c r="E12" s="630"/>
      <c r="F12" s="627"/>
      <c r="G12" s="627"/>
      <c r="H12" s="628">
        <f t="shared" si="0"/>
        <v>6475451.370000001</v>
      </c>
      <c r="I12" s="945"/>
    </row>
    <row r="13" spans="1:9" x14ac:dyDescent="0.25">
      <c r="A13" s="625">
        <v>7</v>
      </c>
      <c r="B13" s="603" t="s">
        <v>388</v>
      </c>
      <c r="C13" s="629">
        <v>1058532.6599999999</v>
      </c>
      <c r="D13" s="629">
        <v>10289182.950000001</v>
      </c>
      <c r="E13" s="631">
        <v>582989.57180676237</v>
      </c>
      <c r="F13" s="627"/>
      <c r="G13" s="627"/>
      <c r="H13" s="628">
        <f t="shared" si="0"/>
        <v>10764726.038193239</v>
      </c>
      <c r="I13" s="945"/>
    </row>
    <row r="14" spans="1:9" x14ac:dyDescent="0.25">
      <c r="A14" s="625">
        <v>8</v>
      </c>
      <c r="B14" s="611" t="s">
        <v>389</v>
      </c>
      <c r="C14" s="629">
        <v>197805.30000000005</v>
      </c>
      <c r="D14" s="629">
        <v>6896363.8547091531</v>
      </c>
      <c r="E14" s="631">
        <v>315141.2734618737</v>
      </c>
      <c r="F14" s="627"/>
      <c r="G14" s="626">
        <f>'19. Assets by Risk Sectors'!G34</f>
        <v>18260.13</v>
      </c>
      <c r="H14" s="628">
        <f t="shared" si="0"/>
        <v>6779027.8812472792</v>
      </c>
      <c r="I14" s="945"/>
    </row>
    <row r="15" spans="1:9" x14ac:dyDescent="0.25">
      <c r="A15" s="625">
        <v>9</v>
      </c>
      <c r="B15" s="603" t="s">
        <v>390</v>
      </c>
      <c r="C15" s="629"/>
      <c r="D15" s="629">
        <v>0</v>
      </c>
      <c r="E15" s="630"/>
      <c r="F15" s="627"/>
      <c r="G15" s="627"/>
      <c r="H15" s="628">
        <f t="shared" si="0"/>
        <v>0</v>
      </c>
      <c r="I15" s="946"/>
    </row>
    <row r="16" spans="1:9" x14ac:dyDescent="0.25">
      <c r="A16" s="625">
        <v>10</v>
      </c>
      <c r="B16" s="612" t="s">
        <v>391</v>
      </c>
      <c r="C16" s="629">
        <v>1091855.92</v>
      </c>
      <c r="D16" s="629">
        <v>0</v>
      </c>
      <c r="E16" s="629">
        <v>384541.20459709922</v>
      </c>
      <c r="F16" s="627"/>
      <c r="G16" s="627"/>
      <c r="H16" s="628">
        <f t="shared" si="0"/>
        <v>707314.71540290071</v>
      </c>
      <c r="I16" s="945"/>
    </row>
    <row r="17" spans="1:11" x14ac:dyDescent="0.25">
      <c r="A17" s="625">
        <v>11</v>
      </c>
      <c r="B17" s="603" t="s">
        <v>392</v>
      </c>
      <c r="C17" s="629">
        <v>0</v>
      </c>
      <c r="D17" s="629">
        <v>0</v>
      </c>
      <c r="E17" s="629">
        <v>0</v>
      </c>
      <c r="F17" s="627"/>
      <c r="G17" s="627"/>
      <c r="H17" s="628">
        <f t="shared" si="0"/>
        <v>0</v>
      </c>
      <c r="I17" s="945"/>
    </row>
    <row r="18" spans="1:11" x14ac:dyDescent="0.25">
      <c r="A18" s="625">
        <v>12</v>
      </c>
      <c r="B18" s="603" t="s">
        <v>393</v>
      </c>
      <c r="C18" s="629"/>
      <c r="D18" s="629">
        <v>0</v>
      </c>
      <c r="E18" s="630"/>
      <c r="F18" s="627"/>
      <c r="G18" s="627"/>
      <c r="H18" s="628">
        <f t="shared" si="0"/>
        <v>0</v>
      </c>
      <c r="I18" s="945"/>
    </row>
    <row r="19" spans="1:11" x14ac:dyDescent="0.25">
      <c r="A19" s="632">
        <v>13</v>
      </c>
      <c r="B19" s="611" t="s">
        <v>394</v>
      </c>
      <c r="C19" s="629"/>
      <c r="D19" s="629">
        <v>0</v>
      </c>
      <c r="E19" s="630"/>
      <c r="F19" s="627"/>
      <c r="G19" s="627"/>
      <c r="H19" s="628">
        <f t="shared" si="0"/>
        <v>0</v>
      </c>
      <c r="I19" s="945"/>
    </row>
    <row r="20" spans="1:11" x14ac:dyDescent="0.25">
      <c r="A20" s="625">
        <v>14</v>
      </c>
      <c r="B20" s="603" t="s">
        <v>395</v>
      </c>
      <c r="C20" s="629">
        <v>92689.03</v>
      </c>
      <c r="D20" s="633">
        <v>26368213.081792615</v>
      </c>
      <c r="E20" s="631">
        <f>C20</f>
        <v>92689.03</v>
      </c>
      <c r="F20" s="627"/>
      <c r="G20" s="627"/>
      <c r="H20" s="628">
        <f t="shared" si="0"/>
        <v>26368213.081792615</v>
      </c>
      <c r="I20" s="945"/>
    </row>
    <row r="21" spans="1:11" s="638" customFormat="1" x14ac:dyDescent="0.25">
      <c r="A21" s="634">
        <v>15</v>
      </c>
      <c r="B21" s="635" t="s">
        <v>54</v>
      </c>
      <c r="C21" s="636">
        <f t="shared" ref="C21:H21" si="1">SUM(C7:C15)+SUM(C17:C20)</f>
        <v>1349026.99</v>
      </c>
      <c r="D21" s="636">
        <f t="shared" si="1"/>
        <v>78439667.346501783</v>
      </c>
      <c r="E21" s="637">
        <f t="shared" si="1"/>
        <v>1069779.4572638022</v>
      </c>
      <c r="F21" s="635">
        <f t="shared" si="1"/>
        <v>0</v>
      </c>
      <c r="G21" s="635">
        <f t="shared" si="1"/>
        <v>18260.13</v>
      </c>
      <c r="H21" s="628">
        <f t="shared" si="1"/>
        <v>78718914.87923798</v>
      </c>
      <c r="I21" s="947"/>
      <c r="J21" s="947"/>
      <c r="K21" s="947"/>
    </row>
    <row r="22" spans="1:11" x14ac:dyDescent="0.25">
      <c r="A22" s="639">
        <v>16</v>
      </c>
      <c r="B22" s="640" t="s">
        <v>564</v>
      </c>
      <c r="C22" s="629">
        <f>C13+C14+C17</f>
        <v>1256337.96</v>
      </c>
      <c r="D22" s="629">
        <f t="shared" ref="D22:G22" si="2">D13+D14+D17</f>
        <v>17185546.804709155</v>
      </c>
      <c r="E22" s="629">
        <f t="shared" si="2"/>
        <v>898130.84526863601</v>
      </c>
      <c r="F22" s="629">
        <f>F13+F14+F17</f>
        <v>0</v>
      </c>
      <c r="G22" s="629">
        <f t="shared" si="2"/>
        <v>18260.13</v>
      </c>
      <c r="H22" s="628">
        <f>C22+D22-E22-F22</f>
        <v>17543753.919440519</v>
      </c>
    </row>
    <row r="23" spans="1:11" x14ac:dyDescent="0.25">
      <c r="A23" s="639">
        <v>17</v>
      </c>
      <c r="B23" s="640" t="s">
        <v>565</v>
      </c>
      <c r="C23" s="629"/>
      <c r="D23" s="633">
        <v>24918832.900000002</v>
      </c>
      <c r="E23" s="633">
        <v>78959.581995166198</v>
      </c>
      <c r="F23" s="627"/>
      <c r="G23" s="627"/>
      <c r="H23" s="628">
        <f>C23+D23-E23-F23</f>
        <v>24839873.318004835</v>
      </c>
    </row>
    <row r="24" spans="1:11" x14ac:dyDescent="0.25">
      <c r="D24" s="606"/>
      <c r="H24" s="942"/>
      <c r="K24" s="586"/>
    </row>
  </sheetData>
  <mergeCells count="5">
    <mergeCell ref="A5:B6"/>
    <mergeCell ref="C5:D5"/>
    <mergeCell ref="E5:E6"/>
    <mergeCell ref="F5:F6"/>
    <mergeCell ref="G5:G6"/>
  </mergeCells>
  <conditionalFormatting sqref="A5">
    <cfRule type="duplicateValues" dxfId="23" priority="1"/>
    <cfRule type="duplicateValues" dxfId="22" priority="2"/>
    <cfRule type="duplicateValues" dxfId="21"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95B0-F33F-466C-8D6C-544D81A20B2A}">
  <dimension ref="A1:H36"/>
  <sheetViews>
    <sheetView showGridLines="0" topLeftCell="A6" zoomScaleNormal="100" workbookViewId="0">
      <selection activeCell="G7" sqref="C7:G33"/>
    </sheetView>
  </sheetViews>
  <sheetFormatPr defaultColWidth="9.109375" defaultRowHeight="12" x14ac:dyDescent="0.25"/>
  <cols>
    <col min="1" max="1" width="11" style="586" bestFit="1" customWidth="1"/>
    <col min="2" max="2" width="93.44140625" style="586" customWidth="1"/>
    <col min="3" max="5" width="22" style="586" customWidth="1"/>
    <col min="6" max="6" width="18.33203125" style="586" customWidth="1"/>
    <col min="7" max="7" width="17.44140625" style="586" customWidth="1"/>
    <col min="8" max="8" width="21.88671875" style="586" customWidth="1"/>
    <col min="9" max="16384" width="9.109375" style="586"/>
  </cols>
  <sheetData>
    <row r="1" spans="1:8" ht="13.8" x14ac:dyDescent="0.3">
      <c r="A1" s="585" t="s">
        <v>0</v>
      </c>
      <c r="B1" s="2" t="s">
        <v>199</v>
      </c>
      <c r="C1" s="617"/>
      <c r="D1" s="617"/>
      <c r="E1" s="617"/>
      <c r="F1" s="617"/>
      <c r="G1" s="617"/>
      <c r="H1" s="617"/>
    </row>
    <row r="2" spans="1:8" x14ac:dyDescent="0.25">
      <c r="A2" s="585" t="s">
        <v>1</v>
      </c>
      <c r="B2" s="587">
        <f>'1. key ratios'!B2</f>
        <v>45016</v>
      </c>
      <c r="C2" s="617"/>
      <c r="D2" s="617"/>
      <c r="E2" s="617"/>
      <c r="F2" s="617"/>
      <c r="G2" s="617"/>
      <c r="H2" s="617"/>
    </row>
    <row r="3" spans="1:8" x14ac:dyDescent="0.25">
      <c r="A3" s="588" t="s">
        <v>566</v>
      </c>
      <c r="B3" s="617"/>
      <c r="C3" s="617"/>
      <c r="D3" s="617"/>
      <c r="E3" s="617"/>
      <c r="F3" s="617"/>
      <c r="G3" s="617"/>
      <c r="H3" s="617"/>
    </row>
    <row r="4" spans="1:8" x14ac:dyDescent="0.25">
      <c r="A4" s="617"/>
      <c r="B4" s="617"/>
      <c r="C4" s="619" t="s">
        <v>549</v>
      </c>
      <c r="D4" s="619" t="s">
        <v>550</v>
      </c>
      <c r="E4" s="619" t="s">
        <v>551</v>
      </c>
      <c r="F4" s="619" t="s">
        <v>552</v>
      </c>
      <c r="G4" s="619" t="s">
        <v>553</v>
      </c>
      <c r="H4" s="619" t="s">
        <v>554</v>
      </c>
    </row>
    <row r="5" spans="1:8" ht="41.4" customHeight="1" x14ac:dyDescent="0.25">
      <c r="A5" s="589" t="s">
        <v>567</v>
      </c>
      <c r="B5" s="590"/>
      <c r="C5" s="642" t="s">
        <v>556</v>
      </c>
      <c r="D5" s="643"/>
      <c r="E5" s="621" t="s">
        <v>568</v>
      </c>
      <c r="F5" s="621" t="s">
        <v>558</v>
      </c>
      <c r="G5" s="621" t="s">
        <v>559</v>
      </c>
      <c r="H5" s="622" t="s">
        <v>560</v>
      </c>
    </row>
    <row r="6" spans="1:8" ht="36" x14ac:dyDescent="0.25">
      <c r="A6" s="599"/>
      <c r="B6" s="600"/>
      <c r="C6" s="623" t="s">
        <v>561</v>
      </c>
      <c r="D6" s="623" t="s">
        <v>562</v>
      </c>
      <c r="E6" s="624"/>
      <c r="F6" s="624"/>
      <c r="G6" s="624"/>
      <c r="H6" s="622" t="s">
        <v>563</v>
      </c>
    </row>
    <row r="7" spans="1:8" x14ac:dyDescent="0.25">
      <c r="A7" s="627">
        <v>1</v>
      </c>
      <c r="B7" s="644" t="s">
        <v>569</v>
      </c>
      <c r="C7" s="626">
        <v>1209.54</v>
      </c>
      <c r="D7" s="626">
        <v>28929163.340000004</v>
      </c>
      <c r="E7" s="626">
        <v>92229.023145947067</v>
      </c>
      <c r="F7" s="627"/>
      <c r="G7" s="627">
        <v>1275.3499999999999</v>
      </c>
      <c r="H7" s="628">
        <f t="shared" ref="H7:H34" si="0">C7+D7-E7-F7</f>
        <v>28838143.856854055</v>
      </c>
    </row>
    <row r="8" spans="1:8" x14ac:dyDescent="0.25">
      <c r="A8" s="627">
        <v>2</v>
      </c>
      <c r="B8" s="644" t="s">
        <v>570</v>
      </c>
      <c r="C8" s="626">
        <v>3259.9500000000003</v>
      </c>
      <c r="D8" s="626">
        <v>7233198.9600000009</v>
      </c>
      <c r="E8" s="626">
        <v>29261.965969201086</v>
      </c>
      <c r="F8" s="627"/>
      <c r="G8" s="627">
        <v>1.48</v>
      </c>
      <c r="H8" s="628">
        <f t="shared" si="0"/>
        <v>7207196.9440307999</v>
      </c>
    </row>
    <row r="9" spans="1:8" x14ac:dyDescent="0.25">
      <c r="A9" s="627">
        <v>3</v>
      </c>
      <c r="B9" s="644" t="s">
        <v>571</v>
      </c>
      <c r="C9" s="626">
        <v>0</v>
      </c>
      <c r="D9" s="626">
        <v>0</v>
      </c>
      <c r="E9" s="626">
        <v>0</v>
      </c>
      <c r="F9" s="627"/>
      <c r="G9" s="627"/>
      <c r="H9" s="628">
        <f t="shared" si="0"/>
        <v>0</v>
      </c>
    </row>
    <row r="10" spans="1:8" x14ac:dyDescent="0.25">
      <c r="A10" s="627">
        <v>4</v>
      </c>
      <c r="B10" s="644" t="s">
        <v>572</v>
      </c>
      <c r="C10" s="626">
        <v>0</v>
      </c>
      <c r="D10" s="626">
        <v>4142323.5500000003</v>
      </c>
      <c r="E10" s="626">
        <v>60884.483500498587</v>
      </c>
      <c r="F10" s="627"/>
      <c r="G10" s="627"/>
      <c r="H10" s="628">
        <f t="shared" si="0"/>
        <v>4081439.0664995015</v>
      </c>
    </row>
    <row r="11" spans="1:8" x14ac:dyDescent="0.25">
      <c r="A11" s="627">
        <v>5</v>
      </c>
      <c r="B11" s="644" t="s">
        <v>573</v>
      </c>
      <c r="C11" s="626">
        <v>0</v>
      </c>
      <c r="D11" s="626">
        <v>4574932.74</v>
      </c>
      <c r="E11" s="626">
        <v>70435.664135342799</v>
      </c>
      <c r="F11" s="627"/>
      <c r="G11" s="627"/>
      <c r="H11" s="628">
        <f t="shared" si="0"/>
        <v>4504497.0758646578</v>
      </c>
    </row>
    <row r="12" spans="1:8" x14ac:dyDescent="0.25">
      <c r="A12" s="627">
        <v>6</v>
      </c>
      <c r="B12" s="644" t="s">
        <v>574</v>
      </c>
      <c r="C12" s="626">
        <v>0</v>
      </c>
      <c r="D12" s="626">
        <v>480388.97</v>
      </c>
      <c r="E12" s="626">
        <v>18133.392664157389</v>
      </c>
      <c r="F12" s="627"/>
      <c r="G12" s="627">
        <v>619.68999999999994</v>
      </c>
      <c r="H12" s="628">
        <f t="shared" si="0"/>
        <v>462255.57733584259</v>
      </c>
    </row>
    <row r="13" spans="1:8" x14ac:dyDescent="0.25">
      <c r="A13" s="627">
        <v>7</v>
      </c>
      <c r="B13" s="644" t="s">
        <v>575</v>
      </c>
      <c r="C13" s="626">
        <v>0</v>
      </c>
      <c r="D13" s="626">
        <v>215430.25999999998</v>
      </c>
      <c r="E13" s="626">
        <v>7461.3582231331811</v>
      </c>
      <c r="F13" s="627"/>
      <c r="G13" s="627">
        <v>237</v>
      </c>
      <c r="H13" s="628">
        <f t="shared" si="0"/>
        <v>207968.90177686681</v>
      </c>
    </row>
    <row r="14" spans="1:8" x14ac:dyDescent="0.25">
      <c r="A14" s="627">
        <v>8</v>
      </c>
      <c r="B14" s="644" t="s">
        <v>576</v>
      </c>
      <c r="C14" s="626">
        <v>816.29</v>
      </c>
      <c r="D14" s="626">
        <v>5254.31</v>
      </c>
      <c r="E14" s="626">
        <v>939.7660602252397</v>
      </c>
      <c r="F14" s="627"/>
      <c r="G14" s="627"/>
      <c r="H14" s="628">
        <f t="shared" si="0"/>
        <v>5130.8339397747604</v>
      </c>
    </row>
    <row r="15" spans="1:8" x14ac:dyDescent="0.25">
      <c r="A15" s="627">
        <v>9</v>
      </c>
      <c r="B15" s="644" t="s">
        <v>577</v>
      </c>
      <c r="C15" s="626">
        <v>62.64</v>
      </c>
      <c r="D15" s="626">
        <v>1314.3999999999999</v>
      </c>
      <c r="E15" s="626">
        <v>93.372995085279513</v>
      </c>
      <c r="F15" s="627"/>
      <c r="G15" s="627"/>
      <c r="H15" s="628">
        <f t="shared" si="0"/>
        <v>1283.6670049147206</v>
      </c>
    </row>
    <row r="16" spans="1:8" x14ac:dyDescent="0.25">
      <c r="A16" s="627">
        <v>10</v>
      </c>
      <c r="B16" s="644" t="s">
        <v>578</v>
      </c>
      <c r="C16" s="626">
        <v>0</v>
      </c>
      <c r="D16" s="626">
        <v>517.35</v>
      </c>
      <c r="E16" s="626">
        <v>20.919287871900195</v>
      </c>
      <c r="F16" s="627"/>
      <c r="G16" s="627"/>
      <c r="H16" s="628">
        <f t="shared" si="0"/>
        <v>496.4307121280998</v>
      </c>
    </row>
    <row r="17" spans="1:8" x14ac:dyDescent="0.25">
      <c r="A17" s="627">
        <v>11</v>
      </c>
      <c r="B17" s="644" t="s">
        <v>579</v>
      </c>
      <c r="C17" s="626">
        <v>138.6</v>
      </c>
      <c r="D17" s="626">
        <v>414.45000000000005</v>
      </c>
      <c r="E17" s="626">
        <v>138.74449980652764</v>
      </c>
      <c r="F17" s="627"/>
      <c r="G17" s="627"/>
      <c r="H17" s="628">
        <f t="shared" si="0"/>
        <v>414.30550019347243</v>
      </c>
    </row>
    <row r="18" spans="1:8" x14ac:dyDescent="0.25">
      <c r="A18" s="627">
        <v>12</v>
      </c>
      <c r="B18" s="644" t="s">
        <v>580</v>
      </c>
      <c r="C18" s="626">
        <v>886.9</v>
      </c>
      <c r="D18" s="626">
        <v>183005.01000000004</v>
      </c>
      <c r="E18" s="626">
        <v>49273.102224246722</v>
      </c>
      <c r="F18" s="627"/>
      <c r="G18" s="627">
        <v>821.49</v>
      </c>
      <c r="H18" s="628">
        <f t="shared" si="0"/>
        <v>134618.80777575332</v>
      </c>
    </row>
    <row r="19" spans="1:8" x14ac:dyDescent="0.25">
      <c r="A19" s="627">
        <v>13</v>
      </c>
      <c r="B19" s="644" t="s">
        <v>581</v>
      </c>
      <c r="C19" s="626">
        <v>585.61</v>
      </c>
      <c r="D19" s="626">
        <v>6323.8700000000017</v>
      </c>
      <c r="E19" s="626">
        <v>1112.015723408233</v>
      </c>
      <c r="F19" s="627"/>
      <c r="G19" s="627">
        <v>480</v>
      </c>
      <c r="H19" s="628">
        <f t="shared" si="0"/>
        <v>5797.4642765917688</v>
      </c>
    </row>
    <row r="20" spans="1:8" x14ac:dyDescent="0.25">
      <c r="A20" s="627">
        <v>14</v>
      </c>
      <c r="B20" s="644" t="s">
        <v>582</v>
      </c>
      <c r="C20" s="626">
        <v>90</v>
      </c>
      <c r="D20" s="626">
        <v>983893.74</v>
      </c>
      <c r="E20" s="626">
        <v>23929.018656429642</v>
      </c>
      <c r="F20" s="627"/>
      <c r="G20" s="627"/>
      <c r="H20" s="628">
        <f t="shared" si="0"/>
        <v>960054.72134357039</v>
      </c>
    </row>
    <row r="21" spans="1:8" x14ac:dyDescent="0.25">
      <c r="A21" s="627">
        <v>15</v>
      </c>
      <c r="B21" s="644" t="s">
        <v>583</v>
      </c>
      <c r="C21" s="626">
        <v>0</v>
      </c>
      <c r="D21" s="626">
        <v>53916.030000000006</v>
      </c>
      <c r="E21" s="626">
        <v>1153.6079751942759</v>
      </c>
      <c r="F21" s="627"/>
      <c r="G21" s="627"/>
      <c r="H21" s="628">
        <f t="shared" si="0"/>
        <v>52762.422024805732</v>
      </c>
    </row>
    <row r="22" spans="1:8" x14ac:dyDescent="0.25">
      <c r="A22" s="627">
        <v>16</v>
      </c>
      <c r="B22" s="644" t="s">
        <v>584</v>
      </c>
      <c r="C22" s="626">
        <v>0</v>
      </c>
      <c r="D22" s="626">
        <v>0</v>
      </c>
      <c r="E22" s="626">
        <v>0</v>
      </c>
      <c r="F22" s="627"/>
      <c r="G22" s="627"/>
      <c r="H22" s="628">
        <f t="shared" si="0"/>
        <v>0</v>
      </c>
    </row>
    <row r="23" spans="1:8" x14ac:dyDescent="0.25">
      <c r="A23" s="627">
        <v>17</v>
      </c>
      <c r="B23" s="644" t="s">
        <v>585</v>
      </c>
      <c r="C23" s="626">
        <v>7831.63</v>
      </c>
      <c r="D23" s="626">
        <v>0</v>
      </c>
      <c r="E23" s="626">
        <v>4293.3246483762941</v>
      </c>
      <c r="F23" s="627"/>
      <c r="G23" s="627"/>
      <c r="H23" s="628">
        <f t="shared" si="0"/>
        <v>3538.305351623706</v>
      </c>
    </row>
    <row r="24" spans="1:8" x14ac:dyDescent="0.25">
      <c r="A24" s="627">
        <v>18</v>
      </c>
      <c r="B24" s="644" t="s">
        <v>587</v>
      </c>
      <c r="C24" s="626">
        <v>0</v>
      </c>
      <c r="D24" s="626">
        <v>18241.8</v>
      </c>
      <c r="E24" s="626">
        <v>298.4897595758585</v>
      </c>
      <c r="F24" s="627"/>
      <c r="G24" s="627"/>
      <c r="H24" s="628">
        <f t="shared" si="0"/>
        <v>17943.31024042414</v>
      </c>
    </row>
    <row r="25" spans="1:8" x14ac:dyDescent="0.25">
      <c r="A25" s="627">
        <v>19</v>
      </c>
      <c r="B25" s="644" t="s">
        <v>588</v>
      </c>
      <c r="C25" s="626">
        <v>0</v>
      </c>
      <c r="D25" s="626">
        <v>1609.82</v>
      </c>
      <c r="E25" s="626">
        <v>108.40432997477839</v>
      </c>
      <c r="F25" s="627"/>
      <c r="G25" s="627"/>
      <c r="H25" s="628">
        <f t="shared" si="0"/>
        <v>1501.4156700252215</v>
      </c>
    </row>
    <row r="26" spans="1:8" x14ac:dyDescent="0.25">
      <c r="A26" s="627">
        <v>20</v>
      </c>
      <c r="B26" s="644" t="s">
        <v>589</v>
      </c>
      <c r="C26" s="626">
        <v>29.41</v>
      </c>
      <c r="D26" s="626">
        <v>66021.61</v>
      </c>
      <c r="E26" s="626">
        <v>1473.0735438835038</v>
      </c>
      <c r="F26" s="627"/>
      <c r="G26" s="627">
        <v>373.96</v>
      </c>
      <c r="H26" s="628">
        <f t="shared" si="0"/>
        <v>64577.9464561165</v>
      </c>
    </row>
    <row r="27" spans="1:8" x14ac:dyDescent="0.25">
      <c r="A27" s="627">
        <v>21</v>
      </c>
      <c r="B27" s="644" t="s">
        <v>590</v>
      </c>
      <c r="C27" s="626">
        <v>423.42</v>
      </c>
      <c r="D27" s="626">
        <v>713.14</v>
      </c>
      <c r="E27" s="626">
        <v>422.25045780176765</v>
      </c>
      <c r="F27" s="627"/>
      <c r="G27" s="627"/>
      <c r="H27" s="628">
        <f t="shared" si="0"/>
        <v>714.30954219823229</v>
      </c>
    </row>
    <row r="28" spans="1:8" x14ac:dyDescent="0.25">
      <c r="A28" s="627">
        <v>22</v>
      </c>
      <c r="B28" s="644" t="s">
        <v>591</v>
      </c>
      <c r="C28" s="626">
        <v>53274.51</v>
      </c>
      <c r="D28" s="626">
        <v>2669804.9599999986</v>
      </c>
      <c r="E28" s="626">
        <v>97425.392897008904</v>
      </c>
      <c r="F28" s="627"/>
      <c r="G28" s="627">
        <v>11072.52</v>
      </c>
      <c r="H28" s="628">
        <f t="shared" si="0"/>
        <v>2625654.0771029894</v>
      </c>
    </row>
    <row r="29" spans="1:8" x14ac:dyDescent="0.25">
      <c r="A29" s="627">
        <v>23</v>
      </c>
      <c r="B29" s="644" t="s">
        <v>592</v>
      </c>
      <c r="C29" s="626">
        <v>48006.77</v>
      </c>
      <c r="D29" s="626">
        <v>1240614.2000000004</v>
      </c>
      <c r="E29" s="626">
        <v>62802.777709420967</v>
      </c>
      <c r="F29" s="627"/>
      <c r="G29" s="627">
        <v>3302.52</v>
      </c>
      <c r="H29" s="628">
        <f t="shared" si="0"/>
        <v>1225818.1922905794</v>
      </c>
    </row>
    <row r="30" spans="1:8" x14ac:dyDescent="0.25">
      <c r="A30" s="627">
        <v>24</v>
      </c>
      <c r="B30" s="644" t="s">
        <v>593</v>
      </c>
      <c r="C30" s="626">
        <v>1058532.6599999999</v>
      </c>
      <c r="D30" s="626">
        <v>1822.63</v>
      </c>
      <c r="E30" s="626">
        <v>365171.55387311085</v>
      </c>
      <c r="F30" s="627"/>
      <c r="G30" s="627"/>
      <c r="H30" s="628">
        <f t="shared" si="0"/>
        <v>695183.73612688901</v>
      </c>
    </row>
    <row r="31" spans="1:8" x14ac:dyDescent="0.25">
      <c r="A31" s="627">
        <v>25</v>
      </c>
      <c r="B31" s="644" t="s">
        <v>202</v>
      </c>
      <c r="C31" s="626">
        <v>81190.030000000028</v>
      </c>
      <c r="D31" s="626">
        <v>1262549.1247091547</v>
      </c>
      <c r="E31" s="626">
        <v>90028.724984101791</v>
      </c>
      <c r="F31" s="627"/>
      <c r="G31" s="627">
        <v>76.12</v>
      </c>
      <c r="H31" s="628">
        <f t="shared" si="0"/>
        <v>1253710.429725053</v>
      </c>
    </row>
    <row r="32" spans="1:8" x14ac:dyDescent="0.25">
      <c r="A32" s="627">
        <v>26</v>
      </c>
      <c r="B32" s="644" t="s">
        <v>594</v>
      </c>
      <c r="C32" s="626">
        <v>0</v>
      </c>
      <c r="D32" s="626">
        <v>0</v>
      </c>
      <c r="E32" s="626">
        <v>0</v>
      </c>
      <c r="F32" s="627"/>
      <c r="G32" s="627"/>
      <c r="H32" s="628">
        <f t="shared" si="0"/>
        <v>0</v>
      </c>
    </row>
    <row r="33" spans="1:8" x14ac:dyDescent="0.25">
      <c r="A33" s="627">
        <v>27</v>
      </c>
      <c r="B33" s="627" t="s">
        <v>80</v>
      </c>
      <c r="C33" s="626">
        <f>'18. Assets by Exposure classes'!C20</f>
        <v>92689.03</v>
      </c>
      <c r="D33" s="626">
        <f>'18. Assets by Exposure classes'!D20</f>
        <v>26368213.081792615</v>
      </c>
      <c r="E33" s="626">
        <f>'18. Assets by Exposure classes'!E20</f>
        <v>92689.03</v>
      </c>
      <c r="F33" s="627"/>
      <c r="G33" s="627"/>
      <c r="H33" s="628">
        <f t="shared" si="0"/>
        <v>26368213.081792615</v>
      </c>
    </row>
    <row r="34" spans="1:8" x14ac:dyDescent="0.25">
      <c r="A34" s="627">
        <v>28</v>
      </c>
      <c r="B34" s="635" t="s">
        <v>54</v>
      </c>
      <c r="C34" s="645">
        <f>SUM(C7:C33)</f>
        <v>1349026.99</v>
      </c>
      <c r="D34" s="645">
        <f>SUM(D7:D33)</f>
        <v>78439667.346501768</v>
      </c>
      <c r="E34" s="645">
        <f>SUM(E7:E33)</f>
        <v>1069779.4572638026</v>
      </c>
      <c r="F34" s="635">
        <f>SUM(F7:F33)</f>
        <v>0</v>
      </c>
      <c r="G34" s="635">
        <f>SUM(G7:G33)</f>
        <v>18260.13</v>
      </c>
      <c r="H34" s="628">
        <f t="shared" si="0"/>
        <v>78718914.879237965</v>
      </c>
    </row>
    <row r="36" spans="1:8" x14ac:dyDescent="0.25">
      <c r="B36" s="646"/>
    </row>
  </sheetData>
  <mergeCells count="5">
    <mergeCell ref="A5:B6"/>
    <mergeCell ref="C5:D5"/>
    <mergeCell ref="E5:E6"/>
    <mergeCell ref="F5:F6"/>
    <mergeCell ref="G5:G6"/>
  </mergeCells>
  <conditionalFormatting sqref="A5">
    <cfRule type="duplicateValues" dxfId="20" priority="1"/>
    <cfRule type="duplicateValues" dxfId="19" priority="2"/>
    <cfRule type="duplicateValues" dxfId="18" priority="3"/>
  </conditionalFormatting>
  <conditionalFormatting sqref="B7:B31">
    <cfRule type="duplicateValues" dxfId="17" priority="4"/>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0F42-3730-4A5E-9B81-77249F5FC946}">
  <dimension ref="A1:E17"/>
  <sheetViews>
    <sheetView showGridLines="0" topLeftCell="B1" zoomScaleNormal="100" workbookViewId="0">
      <selection activeCell="C6" sqref="C6:D15"/>
    </sheetView>
  </sheetViews>
  <sheetFormatPr defaultColWidth="9.109375" defaultRowHeight="12" x14ac:dyDescent="0.25"/>
  <cols>
    <col min="1" max="1" width="11.88671875" style="586" bestFit="1" customWidth="1"/>
    <col min="2" max="2" width="108" style="586" bestFit="1" customWidth="1"/>
    <col min="3" max="3" width="35.5546875" style="586" customWidth="1"/>
    <col min="4" max="4" width="38.44140625" style="586" customWidth="1"/>
    <col min="5" max="16384" width="9.109375" style="586"/>
  </cols>
  <sheetData>
    <row r="1" spans="1:5" ht="13.8" x14ac:dyDescent="0.3">
      <c r="A1" s="585" t="s">
        <v>0</v>
      </c>
      <c r="B1" s="2" t="s">
        <v>199</v>
      </c>
    </row>
    <row r="2" spans="1:5" x14ac:dyDescent="0.25">
      <c r="A2" s="585" t="s">
        <v>1</v>
      </c>
      <c r="B2" s="587">
        <f>'1. key ratios'!B2</f>
        <v>45016</v>
      </c>
    </row>
    <row r="3" spans="1:5" x14ac:dyDescent="0.25">
      <c r="A3" s="588" t="s">
        <v>595</v>
      </c>
    </row>
    <row r="5" spans="1:5" x14ac:dyDescent="0.25">
      <c r="A5" s="649" t="s">
        <v>596</v>
      </c>
      <c r="B5" s="649"/>
      <c r="C5" s="601" t="s">
        <v>597</v>
      </c>
      <c r="D5" s="601" t="s">
        <v>598</v>
      </c>
    </row>
    <row r="6" spans="1:5" x14ac:dyDescent="0.25">
      <c r="A6" s="650">
        <v>1</v>
      </c>
      <c r="B6" s="651" t="s">
        <v>599</v>
      </c>
      <c r="C6" s="604">
        <v>903117.34887441224</v>
      </c>
      <c r="D6" s="652">
        <v>73430.628716569205</v>
      </c>
    </row>
    <row r="7" spans="1:5" x14ac:dyDescent="0.25">
      <c r="A7" s="653">
        <v>2</v>
      </c>
      <c r="B7" s="651" t="s">
        <v>600</v>
      </c>
      <c r="C7" s="652">
        <f>SUM(C8:C9)</f>
        <v>96564.897877089621</v>
      </c>
      <c r="D7" s="652">
        <f>SUM(D8:D9)</f>
        <v>5528.9532785970414</v>
      </c>
    </row>
    <row r="8" spans="1:5" x14ac:dyDescent="0.25">
      <c r="A8" s="654">
        <v>2.1</v>
      </c>
      <c r="B8" s="655" t="s">
        <v>601</v>
      </c>
      <c r="C8" s="652">
        <v>71891.810699561829</v>
      </c>
      <c r="D8" s="652"/>
    </row>
    <row r="9" spans="1:5" x14ac:dyDescent="0.25">
      <c r="A9" s="654">
        <v>2.2000000000000002</v>
      </c>
      <c r="B9" s="655" t="s">
        <v>602</v>
      </c>
      <c r="C9" s="652">
        <v>24673.087177527785</v>
      </c>
      <c r="D9" s="652">
        <v>5528.9532785970414</v>
      </c>
    </row>
    <row r="10" spans="1:5" x14ac:dyDescent="0.25">
      <c r="A10" s="650">
        <v>3</v>
      </c>
      <c r="B10" s="651" t="s">
        <v>603</v>
      </c>
      <c r="C10" s="652">
        <f>SUM(C11:C13)</f>
        <v>96053.20402822613</v>
      </c>
      <c r="D10" s="652">
        <f>D11+D12+D13+D14</f>
        <v>0</v>
      </c>
    </row>
    <row r="11" spans="1:5" x14ac:dyDescent="0.25">
      <c r="A11" s="654">
        <v>3.1</v>
      </c>
      <c r="B11" s="655" t="s">
        <v>604</v>
      </c>
      <c r="C11" s="652"/>
      <c r="D11" s="652"/>
    </row>
    <row r="12" spans="1:5" x14ac:dyDescent="0.25">
      <c r="A12" s="654">
        <v>3.2</v>
      </c>
      <c r="B12" s="655" t="s">
        <v>605</v>
      </c>
      <c r="C12" s="652">
        <v>72744.046504327591</v>
      </c>
      <c r="D12" s="652"/>
    </row>
    <row r="13" spans="1:5" x14ac:dyDescent="0.25">
      <c r="A13" s="654">
        <v>3.3</v>
      </c>
      <c r="B13" s="655" t="s">
        <v>606</v>
      </c>
      <c r="C13" s="652">
        <v>23309.157523898542</v>
      </c>
      <c r="D13" s="652"/>
    </row>
    <row r="14" spans="1:5" x14ac:dyDescent="0.25">
      <c r="A14" s="653">
        <v>4</v>
      </c>
      <c r="B14" s="656" t="s">
        <v>607</v>
      </c>
      <c r="C14" s="652">
        <v>-5498.1974546397296</v>
      </c>
      <c r="D14" s="652"/>
    </row>
    <row r="15" spans="1:5" x14ac:dyDescent="0.25">
      <c r="A15" s="657">
        <v>5</v>
      </c>
      <c r="B15" s="651" t="s">
        <v>608</v>
      </c>
      <c r="C15" s="604">
        <f>C6+C7-C10+C14</f>
        <v>898130.84526863613</v>
      </c>
      <c r="D15" s="604">
        <f>D6+D7-D10+D14</f>
        <v>78959.581995166242</v>
      </c>
    </row>
    <row r="16" spans="1:5" x14ac:dyDescent="0.25">
      <c r="C16" s="941"/>
      <c r="D16" s="941"/>
      <c r="E16" s="942"/>
    </row>
    <row r="17" spans="3:5" x14ac:dyDescent="0.25">
      <c r="C17" s="942"/>
      <c r="D17" s="942"/>
      <c r="E17" s="942"/>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048C-7BB7-44EC-BF83-8ACF9285231A}">
  <dimension ref="A1:D23"/>
  <sheetViews>
    <sheetView showGridLines="0" zoomScaleNormal="100" workbookViewId="0">
      <selection activeCell="C7" sqref="C7:C18"/>
    </sheetView>
  </sheetViews>
  <sheetFormatPr defaultColWidth="9.109375" defaultRowHeight="12" x14ac:dyDescent="0.25"/>
  <cols>
    <col min="1" max="1" width="11.88671875" style="617" bestFit="1" customWidth="1"/>
    <col min="2" max="2" width="128.88671875" style="617" bestFit="1" customWidth="1"/>
    <col min="3" max="3" width="37" style="617" customWidth="1"/>
    <col min="4" max="4" width="50.5546875" style="617" customWidth="1"/>
    <col min="5" max="16384" width="9.109375" style="617"/>
  </cols>
  <sheetData>
    <row r="1" spans="1:4" ht="13.8" x14ac:dyDescent="0.3">
      <c r="A1" s="585" t="s">
        <v>0</v>
      </c>
      <c r="B1" s="2" t="s">
        <v>199</v>
      </c>
    </row>
    <row r="2" spans="1:4" x14ac:dyDescent="0.25">
      <c r="A2" s="585" t="s">
        <v>1</v>
      </c>
      <c r="B2" s="587">
        <f>'1. key ratios'!B2</f>
        <v>45016</v>
      </c>
    </row>
    <row r="3" spans="1:4" x14ac:dyDescent="0.25">
      <c r="A3" s="588" t="s">
        <v>609</v>
      </c>
    </row>
    <row r="4" spans="1:4" x14ac:dyDescent="0.25">
      <c r="A4" s="588"/>
    </row>
    <row r="5" spans="1:4" ht="15" customHeight="1" x14ac:dyDescent="0.25">
      <c r="A5" s="658" t="s">
        <v>610</v>
      </c>
      <c r="B5" s="659"/>
      <c r="C5" s="660" t="s">
        <v>611</v>
      </c>
      <c r="D5" s="660" t="s">
        <v>612</v>
      </c>
    </row>
    <row r="6" spans="1:4" x14ac:dyDescent="0.25">
      <c r="A6" s="661"/>
      <c r="B6" s="662"/>
      <c r="C6" s="660"/>
      <c r="D6" s="660"/>
    </row>
    <row r="7" spans="1:4" x14ac:dyDescent="0.25">
      <c r="A7" s="635">
        <v>1</v>
      </c>
      <c r="B7" s="635" t="s">
        <v>613</v>
      </c>
      <c r="C7" s="626">
        <v>1253498.3199999996</v>
      </c>
      <c r="D7" s="663"/>
    </row>
    <row r="8" spans="1:4" x14ac:dyDescent="0.25">
      <c r="A8" s="627">
        <v>2</v>
      </c>
      <c r="B8" s="627" t="s">
        <v>614</v>
      </c>
      <c r="C8" s="626">
        <v>31720.78</v>
      </c>
      <c r="D8" s="663"/>
    </row>
    <row r="9" spans="1:4" x14ac:dyDescent="0.25">
      <c r="A9" s="627">
        <v>3</v>
      </c>
      <c r="B9" s="664" t="s">
        <v>615</v>
      </c>
      <c r="C9" s="626"/>
      <c r="D9" s="663"/>
    </row>
    <row r="10" spans="1:4" x14ac:dyDescent="0.25">
      <c r="A10" s="627">
        <v>4</v>
      </c>
      <c r="B10" s="627" t="s">
        <v>616</v>
      </c>
      <c r="C10" s="626">
        <f>SUM(C11:C17)</f>
        <v>-28881.14</v>
      </c>
      <c r="D10" s="663"/>
    </row>
    <row r="11" spans="1:4" x14ac:dyDescent="0.25">
      <c r="A11" s="627">
        <v>5</v>
      </c>
      <c r="B11" s="665" t="s">
        <v>617</v>
      </c>
      <c r="C11" s="626">
        <v>0</v>
      </c>
      <c r="D11" s="663"/>
    </row>
    <row r="12" spans="1:4" x14ac:dyDescent="0.25">
      <c r="A12" s="627">
        <v>6</v>
      </c>
      <c r="B12" s="665" t="s">
        <v>618</v>
      </c>
      <c r="C12" s="626">
        <f>-19984.48-8896.66</f>
        <v>-28881.14</v>
      </c>
      <c r="D12" s="663"/>
    </row>
    <row r="13" spans="1:4" x14ac:dyDescent="0.25">
      <c r="A13" s="627">
        <v>7</v>
      </c>
      <c r="B13" s="665" t="s">
        <v>619</v>
      </c>
      <c r="C13" s="626"/>
      <c r="D13" s="663"/>
    </row>
    <row r="14" spans="1:4" x14ac:dyDescent="0.25">
      <c r="A14" s="627">
        <v>8</v>
      </c>
      <c r="B14" s="665" t="s">
        <v>620</v>
      </c>
      <c r="C14" s="626"/>
      <c r="D14" s="627"/>
    </row>
    <row r="15" spans="1:4" x14ac:dyDescent="0.25">
      <c r="A15" s="627">
        <v>9</v>
      </c>
      <c r="B15" s="665" t="s">
        <v>621</v>
      </c>
      <c r="C15" s="626"/>
      <c r="D15" s="627"/>
    </row>
    <row r="16" spans="1:4" x14ac:dyDescent="0.25">
      <c r="A16" s="627">
        <v>10</v>
      </c>
      <c r="B16" s="665" t="s">
        <v>622</v>
      </c>
      <c r="C16" s="626"/>
      <c r="D16" s="627"/>
    </row>
    <row r="17" spans="1:4" x14ac:dyDescent="0.25">
      <c r="A17" s="627">
        <v>11</v>
      </c>
      <c r="B17" s="665" t="s">
        <v>623</v>
      </c>
      <c r="C17" s="626"/>
      <c r="D17" s="663"/>
    </row>
    <row r="18" spans="1:4" x14ac:dyDescent="0.25">
      <c r="A18" s="635">
        <v>12</v>
      </c>
      <c r="B18" s="666" t="s">
        <v>624</v>
      </c>
      <c r="C18" s="645">
        <f>'24. Risk Sector'!F33</f>
        <v>1256337.96</v>
      </c>
      <c r="D18" s="663"/>
    </row>
    <row r="21" spans="1:4" x14ac:dyDescent="0.25">
      <c r="B21" s="585"/>
    </row>
    <row r="22" spans="1:4" x14ac:dyDescent="0.25">
      <c r="B22" s="585"/>
    </row>
    <row r="23" spans="1:4" x14ac:dyDescent="0.25">
      <c r="B23" s="588"/>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CECE-02ED-4DE2-B71B-07EFE3C65860}">
  <dimension ref="A1:AB28"/>
  <sheetViews>
    <sheetView showGridLines="0" zoomScale="85" zoomScaleNormal="85" workbookViewId="0">
      <selection activeCell="C8" sqref="C8:AA28"/>
    </sheetView>
  </sheetViews>
  <sheetFormatPr defaultColWidth="9.109375" defaultRowHeight="12" x14ac:dyDescent="0.25"/>
  <cols>
    <col min="1" max="1" width="11.88671875" style="617" bestFit="1" customWidth="1"/>
    <col min="2" max="2" width="63.88671875" style="617" customWidth="1"/>
    <col min="3" max="3" width="15.5546875" style="617" customWidth="1"/>
    <col min="4" max="4" width="18.33203125" style="617" customWidth="1"/>
    <col min="5" max="18" width="22.33203125" style="617" customWidth="1"/>
    <col min="19" max="19" width="23.33203125" style="617" bestFit="1" customWidth="1"/>
    <col min="20" max="26" width="22.33203125" style="617" customWidth="1"/>
    <col min="27" max="27" width="23.33203125" style="617" bestFit="1" customWidth="1"/>
    <col min="28" max="28" width="20" style="617" customWidth="1"/>
    <col min="29" max="16384" width="9.109375" style="617"/>
  </cols>
  <sheetData>
    <row r="1" spans="1:28" ht="13.8" x14ac:dyDescent="0.3">
      <c r="A1" s="585" t="s">
        <v>0</v>
      </c>
      <c r="B1" s="2" t="s">
        <v>199</v>
      </c>
    </row>
    <row r="2" spans="1:28" x14ac:dyDescent="0.25">
      <c r="A2" s="585" t="s">
        <v>1</v>
      </c>
      <c r="B2" s="587">
        <f>'1. key ratios'!B2</f>
        <v>45016</v>
      </c>
      <c r="C2" s="618"/>
    </row>
    <row r="3" spans="1:28" x14ac:dyDescent="0.25">
      <c r="A3" s="588" t="s">
        <v>625</v>
      </c>
      <c r="E3" s="667"/>
      <c r="F3" s="668"/>
    </row>
    <row r="5" spans="1:28" ht="15" customHeight="1" x14ac:dyDescent="0.25">
      <c r="A5" s="669" t="s">
        <v>626</v>
      </c>
      <c r="B5" s="670"/>
      <c r="C5" s="642" t="s">
        <v>627</v>
      </c>
      <c r="D5" s="671"/>
      <c r="E5" s="671"/>
      <c r="F5" s="671"/>
      <c r="G5" s="671"/>
      <c r="H5" s="671"/>
      <c r="I5" s="671"/>
      <c r="J5" s="671"/>
      <c r="K5" s="671"/>
      <c r="L5" s="671"/>
      <c r="M5" s="671"/>
      <c r="N5" s="671"/>
      <c r="O5" s="671"/>
      <c r="P5" s="671"/>
      <c r="Q5" s="671"/>
      <c r="R5" s="671"/>
      <c r="S5" s="671"/>
      <c r="T5" s="672"/>
      <c r="U5" s="672"/>
      <c r="V5" s="672"/>
      <c r="W5" s="672"/>
      <c r="X5" s="672"/>
      <c r="Y5" s="672"/>
      <c r="Z5" s="672"/>
      <c r="AA5" s="673"/>
      <c r="AB5" s="667"/>
    </row>
    <row r="6" spans="1:28" x14ac:dyDescent="0.25">
      <c r="A6" s="674"/>
      <c r="B6" s="675"/>
      <c r="C6" s="676" t="s">
        <v>54</v>
      </c>
      <c r="D6" s="677" t="s">
        <v>628</v>
      </c>
      <c r="E6" s="677"/>
      <c r="F6" s="677"/>
      <c r="G6" s="677"/>
      <c r="H6" s="678" t="s">
        <v>629</v>
      </c>
      <c r="I6" s="679"/>
      <c r="J6" s="679"/>
      <c r="K6" s="680"/>
      <c r="L6" s="681"/>
      <c r="M6" s="682" t="s">
        <v>630</v>
      </c>
      <c r="N6" s="682"/>
      <c r="O6" s="682"/>
      <c r="P6" s="682"/>
      <c r="Q6" s="682"/>
      <c r="R6" s="682"/>
      <c r="S6" s="624"/>
      <c r="T6" s="683"/>
      <c r="U6" s="643" t="s">
        <v>631</v>
      </c>
      <c r="V6" s="643"/>
      <c r="W6" s="643"/>
      <c r="X6" s="643"/>
      <c r="Y6" s="643"/>
      <c r="Z6" s="643"/>
      <c r="AA6" s="620"/>
      <c r="AB6" s="681"/>
    </row>
    <row r="7" spans="1:28" ht="24" x14ac:dyDescent="0.25">
      <c r="A7" s="684"/>
      <c r="B7" s="685"/>
      <c r="C7" s="686"/>
      <c r="D7" s="687"/>
      <c r="E7" s="622" t="s">
        <v>632</v>
      </c>
      <c r="F7" s="622" t="s">
        <v>633</v>
      </c>
      <c r="G7" s="622" t="s">
        <v>634</v>
      </c>
      <c r="H7" s="688"/>
      <c r="I7" s="622" t="s">
        <v>632</v>
      </c>
      <c r="J7" s="622" t="s">
        <v>633</v>
      </c>
      <c r="K7" s="622" t="s">
        <v>634</v>
      </c>
      <c r="L7" s="689"/>
      <c r="M7" s="622" t="s">
        <v>632</v>
      </c>
      <c r="N7" s="622" t="s">
        <v>633</v>
      </c>
      <c r="O7" s="622" t="s">
        <v>635</v>
      </c>
      <c r="P7" s="622" t="s">
        <v>636</v>
      </c>
      <c r="Q7" s="622" t="s">
        <v>637</v>
      </c>
      <c r="R7" s="622" t="s">
        <v>638</v>
      </c>
      <c r="S7" s="622" t="s">
        <v>639</v>
      </c>
      <c r="T7" s="690"/>
      <c r="U7" s="622" t="s">
        <v>632</v>
      </c>
      <c r="V7" s="622" t="s">
        <v>633</v>
      </c>
      <c r="W7" s="622" t="s">
        <v>635</v>
      </c>
      <c r="X7" s="622" t="s">
        <v>636</v>
      </c>
      <c r="Y7" s="622" t="s">
        <v>637</v>
      </c>
      <c r="Z7" s="622" t="s">
        <v>638</v>
      </c>
      <c r="AA7" s="622" t="s">
        <v>639</v>
      </c>
      <c r="AB7" s="667"/>
    </row>
    <row r="8" spans="1:28" x14ac:dyDescent="0.25">
      <c r="A8" s="691">
        <v>1</v>
      </c>
      <c r="B8" s="635" t="s">
        <v>597</v>
      </c>
      <c r="C8" s="645">
        <f>D8+H8+L8</f>
        <v>18441884.764709156</v>
      </c>
      <c r="D8" s="626">
        <f>D13+D14</f>
        <v>16863894.554709155</v>
      </c>
      <c r="E8" s="626">
        <f t="shared" ref="E8:AA8" si="0">E13+E14</f>
        <v>210601.7</v>
      </c>
      <c r="F8" s="626">
        <f t="shared" si="0"/>
        <v>232.12</v>
      </c>
      <c r="G8" s="626">
        <f t="shared" si="0"/>
        <v>0</v>
      </c>
      <c r="H8" s="626">
        <f t="shared" si="0"/>
        <v>321652.24999999994</v>
      </c>
      <c r="I8" s="626">
        <f t="shared" si="0"/>
        <v>123628.55</v>
      </c>
      <c r="J8" s="626">
        <f t="shared" si="0"/>
        <v>1420.15</v>
      </c>
      <c r="K8" s="626">
        <f t="shared" si="0"/>
        <v>0</v>
      </c>
      <c r="L8" s="626">
        <f t="shared" si="0"/>
        <v>1256337.96</v>
      </c>
      <c r="M8" s="626">
        <f t="shared" si="0"/>
        <v>855.08999999999992</v>
      </c>
      <c r="N8" s="626">
        <f t="shared" si="0"/>
        <v>0</v>
      </c>
      <c r="O8" s="626">
        <f t="shared" si="0"/>
        <v>13996.800000000001</v>
      </c>
      <c r="P8" s="626">
        <f t="shared" si="0"/>
        <v>19326.459999999995</v>
      </c>
      <c r="Q8" s="626">
        <f t="shared" si="0"/>
        <v>0</v>
      </c>
      <c r="R8" s="626">
        <f t="shared" si="0"/>
        <v>1058532.6599999999</v>
      </c>
      <c r="S8" s="626">
        <f t="shared" si="0"/>
        <v>0</v>
      </c>
      <c r="T8" s="626">
        <f t="shared" si="0"/>
        <v>0</v>
      </c>
      <c r="U8" s="626">
        <f t="shared" si="0"/>
        <v>0</v>
      </c>
      <c r="V8" s="626">
        <f t="shared" si="0"/>
        <v>0</v>
      </c>
      <c r="W8" s="626">
        <f t="shared" si="0"/>
        <v>0</v>
      </c>
      <c r="X8" s="626">
        <f t="shared" si="0"/>
        <v>0</v>
      </c>
      <c r="Y8" s="626">
        <f t="shared" si="0"/>
        <v>0</v>
      </c>
      <c r="Z8" s="626">
        <f t="shared" si="0"/>
        <v>0</v>
      </c>
      <c r="AA8" s="626">
        <f t="shared" si="0"/>
        <v>0</v>
      </c>
    </row>
    <row r="9" spans="1:28" x14ac:dyDescent="0.25">
      <c r="A9" s="627">
        <v>1.1000000000000001</v>
      </c>
      <c r="B9" s="653" t="s">
        <v>640</v>
      </c>
      <c r="C9" s="645">
        <f t="shared" ref="C9:C14" si="1">D9+H9+L9</f>
        <v>0</v>
      </c>
      <c r="D9" s="626"/>
      <c r="E9" s="626"/>
      <c r="F9" s="626"/>
      <c r="G9" s="626"/>
      <c r="H9" s="626"/>
      <c r="I9" s="626"/>
      <c r="J9" s="626"/>
      <c r="K9" s="626"/>
      <c r="L9" s="626"/>
      <c r="M9" s="626"/>
      <c r="N9" s="626"/>
      <c r="O9" s="626"/>
      <c r="P9" s="626"/>
      <c r="Q9" s="626"/>
      <c r="R9" s="626"/>
      <c r="S9" s="626"/>
      <c r="T9" s="626"/>
      <c r="U9" s="626"/>
      <c r="V9" s="626"/>
      <c r="W9" s="626"/>
      <c r="X9" s="626"/>
      <c r="Y9" s="626"/>
      <c r="Z9" s="626"/>
      <c r="AA9" s="626"/>
    </row>
    <row r="10" spans="1:28" x14ac:dyDescent="0.25">
      <c r="A10" s="627">
        <v>1.2</v>
      </c>
      <c r="B10" s="653" t="s">
        <v>641</v>
      </c>
      <c r="C10" s="645">
        <f t="shared" si="1"/>
        <v>0</v>
      </c>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row>
    <row r="11" spans="1:28" x14ac:dyDescent="0.25">
      <c r="A11" s="627">
        <v>1.3</v>
      </c>
      <c r="B11" s="653" t="s">
        <v>642</v>
      </c>
      <c r="C11" s="645">
        <f t="shared" si="1"/>
        <v>0</v>
      </c>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row>
    <row r="12" spans="1:28" x14ac:dyDescent="0.25">
      <c r="A12" s="627">
        <v>1.4</v>
      </c>
      <c r="B12" s="653" t="s">
        <v>643</v>
      </c>
      <c r="C12" s="645">
        <f t="shared" si="1"/>
        <v>0</v>
      </c>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row>
    <row r="13" spans="1:28" x14ac:dyDescent="0.25">
      <c r="A13" s="627">
        <v>1.5</v>
      </c>
      <c r="B13" s="653" t="s">
        <v>644</v>
      </c>
      <c r="C13" s="626">
        <f t="shared" si="1"/>
        <v>11347715.610000001</v>
      </c>
      <c r="D13" s="626">
        <v>10166600.300000001</v>
      </c>
      <c r="E13" s="626">
        <v>50394.52</v>
      </c>
      <c r="F13" s="626">
        <v>0</v>
      </c>
      <c r="G13" s="626">
        <v>0</v>
      </c>
      <c r="H13" s="626">
        <v>122582.65000000001</v>
      </c>
      <c r="I13" s="626">
        <v>122582.65000000001</v>
      </c>
      <c r="J13" s="626">
        <v>0</v>
      </c>
      <c r="K13" s="626">
        <v>0</v>
      </c>
      <c r="L13" s="626">
        <v>1058532.6599999999</v>
      </c>
      <c r="M13" s="626">
        <v>0</v>
      </c>
      <c r="N13" s="626">
        <v>0</v>
      </c>
      <c r="O13" s="626">
        <v>0</v>
      </c>
      <c r="P13" s="626">
        <v>0</v>
      </c>
      <c r="Q13" s="626">
        <v>0</v>
      </c>
      <c r="R13" s="626">
        <v>1058532.6599999999</v>
      </c>
      <c r="S13" s="626">
        <v>0</v>
      </c>
      <c r="T13" s="626"/>
      <c r="U13" s="626"/>
      <c r="V13" s="626"/>
      <c r="W13" s="626"/>
      <c r="X13" s="626"/>
      <c r="Y13" s="626"/>
      <c r="Z13" s="626"/>
      <c r="AA13" s="626"/>
    </row>
    <row r="14" spans="1:28" x14ac:dyDescent="0.25">
      <c r="A14" s="627">
        <v>1.6</v>
      </c>
      <c r="B14" s="653" t="s">
        <v>645</v>
      </c>
      <c r="C14" s="626">
        <f t="shared" si="1"/>
        <v>7094169.1547091538</v>
      </c>
      <c r="D14" s="626">
        <v>6697294.2547091544</v>
      </c>
      <c r="E14" s="626">
        <v>160207.18000000002</v>
      </c>
      <c r="F14" s="626">
        <v>232.12</v>
      </c>
      <c r="G14" s="626">
        <v>0</v>
      </c>
      <c r="H14" s="626">
        <v>199069.59999999995</v>
      </c>
      <c r="I14" s="626">
        <v>1045.9000000000001</v>
      </c>
      <c r="J14" s="626">
        <v>1420.15</v>
      </c>
      <c r="K14" s="626">
        <v>0</v>
      </c>
      <c r="L14" s="626">
        <v>197805.3</v>
      </c>
      <c r="M14" s="626">
        <v>855.08999999999992</v>
      </c>
      <c r="N14" s="626">
        <v>0</v>
      </c>
      <c r="O14" s="626">
        <v>13996.800000000001</v>
      </c>
      <c r="P14" s="626">
        <v>19326.459999999995</v>
      </c>
      <c r="Q14" s="626">
        <v>0</v>
      </c>
      <c r="R14" s="626">
        <v>0</v>
      </c>
      <c r="S14" s="626">
        <v>0</v>
      </c>
      <c r="T14" s="626"/>
      <c r="U14" s="626"/>
      <c r="V14" s="626"/>
      <c r="W14" s="626"/>
      <c r="X14" s="626"/>
      <c r="Y14" s="626"/>
      <c r="Z14" s="626"/>
      <c r="AA14" s="626"/>
    </row>
    <row r="15" spans="1:28" x14ac:dyDescent="0.25">
      <c r="A15" s="691">
        <v>2</v>
      </c>
      <c r="B15" s="635" t="s">
        <v>66</v>
      </c>
      <c r="C15" s="949">
        <f>C17</f>
        <v>24918832.900000002</v>
      </c>
      <c r="D15" s="950">
        <f>D17</f>
        <v>24918832.900000002</v>
      </c>
      <c r="E15" s="627"/>
      <c r="F15" s="627"/>
      <c r="G15" s="627"/>
      <c r="H15" s="627"/>
      <c r="I15" s="627"/>
      <c r="J15" s="627"/>
      <c r="K15" s="627"/>
      <c r="L15" s="627"/>
      <c r="M15" s="627"/>
      <c r="N15" s="627"/>
      <c r="O15" s="627"/>
      <c r="P15" s="627"/>
      <c r="Q15" s="627"/>
      <c r="R15" s="627"/>
      <c r="S15" s="627"/>
      <c r="T15" s="627"/>
      <c r="U15" s="627"/>
      <c r="V15" s="627"/>
      <c r="W15" s="627"/>
      <c r="X15" s="627"/>
      <c r="Y15" s="627"/>
      <c r="Z15" s="627"/>
      <c r="AA15" s="627"/>
    </row>
    <row r="16" spans="1:28" x14ac:dyDescent="0.25">
      <c r="A16" s="627">
        <v>2.1</v>
      </c>
      <c r="B16" s="653" t="s">
        <v>640</v>
      </c>
      <c r="C16" s="653"/>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row>
    <row r="17" spans="1:27" x14ac:dyDescent="0.25">
      <c r="A17" s="627">
        <v>2.2000000000000002</v>
      </c>
      <c r="B17" s="653" t="s">
        <v>641</v>
      </c>
      <c r="C17" s="952">
        <f>D17+H17+L17</f>
        <v>24918832.900000002</v>
      </c>
      <c r="D17" s="948">
        <v>24918832.900000002</v>
      </c>
      <c r="E17" s="627"/>
      <c r="F17" s="627"/>
      <c r="G17" s="627"/>
      <c r="H17" s="627"/>
      <c r="I17" s="627"/>
      <c r="J17" s="627"/>
      <c r="K17" s="627"/>
      <c r="L17" s="627"/>
      <c r="M17" s="627"/>
      <c r="N17" s="627"/>
      <c r="O17" s="627"/>
      <c r="P17" s="627"/>
      <c r="Q17" s="627"/>
      <c r="R17" s="627"/>
      <c r="S17" s="627"/>
      <c r="T17" s="627"/>
      <c r="U17" s="627"/>
      <c r="V17" s="627"/>
      <c r="W17" s="627"/>
      <c r="X17" s="627"/>
      <c r="Y17" s="627"/>
      <c r="Z17" s="627"/>
      <c r="AA17" s="627"/>
    </row>
    <row r="18" spans="1:27" x14ac:dyDescent="0.25">
      <c r="A18" s="627">
        <v>2.2999999999999998</v>
      </c>
      <c r="B18" s="653" t="s">
        <v>642</v>
      </c>
      <c r="C18" s="653"/>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row>
    <row r="19" spans="1:27" x14ac:dyDescent="0.25">
      <c r="A19" s="627">
        <v>2.4</v>
      </c>
      <c r="B19" s="653" t="s">
        <v>643</v>
      </c>
      <c r="C19" s="653"/>
      <c r="D19" s="627"/>
      <c r="E19" s="627"/>
      <c r="F19" s="627"/>
      <c r="G19" s="627"/>
      <c r="H19" s="627"/>
      <c r="I19" s="627"/>
      <c r="J19" s="627"/>
      <c r="K19" s="627"/>
      <c r="L19" s="627"/>
      <c r="M19" s="627"/>
      <c r="N19" s="627"/>
      <c r="O19" s="627"/>
      <c r="P19" s="627"/>
      <c r="Q19" s="627"/>
      <c r="R19" s="627"/>
      <c r="S19" s="627"/>
      <c r="T19" s="627"/>
      <c r="U19" s="627"/>
      <c r="V19" s="627"/>
      <c r="W19" s="627"/>
      <c r="X19" s="627"/>
      <c r="Y19" s="627"/>
      <c r="Z19" s="627"/>
      <c r="AA19" s="627"/>
    </row>
    <row r="20" spans="1:27" x14ac:dyDescent="0.25">
      <c r="A20" s="627">
        <v>2.5</v>
      </c>
      <c r="B20" s="653" t="s">
        <v>644</v>
      </c>
      <c r="C20" s="653"/>
      <c r="D20" s="627"/>
      <c r="E20" s="627"/>
      <c r="F20" s="627"/>
      <c r="G20" s="627"/>
      <c r="H20" s="627"/>
      <c r="I20" s="627"/>
      <c r="J20" s="627"/>
      <c r="K20" s="627"/>
      <c r="L20" s="627"/>
      <c r="M20" s="627"/>
      <c r="N20" s="627"/>
      <c r="O20" s="627"/>
      <c r="P20" s="627"/>
      <c r="Q20" s="627"/>
      <c r="R20" s="627"/>
      <c r="S20" s="627"/>
      <c r="T20" s="627"/>
      <c r="U20" s="627"/>
      <c r="V20" s="627"/>
      <c r="W20" s="627"/>
      <c r="X20" s="627"/>
      <c r="Y20" s="627"/>
      <c r="Z20" s="627"/>
      <c r="AA20" s="627"/>
    </row>
    <row r="21" spans="1:27" x14ac:dyDescent="0.25">
      <c r="A21" s="627">
        <v>2.6</v>
      </c>
      <c r="B21" s="653" t="s">
        <v>645</v>
      </c>
      <c r="C21" s="653"/>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row>
    <row r="22" spans="1:27" x14ac:dyDescent="0.25">
      <c r="A22" s="691">
        <v>3</v>
      </c>
      <c r="B22" s="635" t="s">
        <v>646</v>
      </c>
      <c r="C22" s="951">
        <f>C27+C28</f>
        <v>3382067.87</v>
      </c>
      <c r="D22" s="951">
        <f>D27+D28</f>
        <v>755104</v>
      </c>
      <c r="E22" s="692"/>
      <c r="F22" s="692"/>
      <c r="G22" s="692"/>
      <c r="H22" s="635"/>
      <c r="I22" s="692"/>
      <c r="J22" s="692"/>
      <c r="K22" s="692"/>
      <c r="L22" s="635"/>
      <c r="M22" s="692"/>
      <c r="N22" s="692"/>
      <c r="O22" s="692"/>
      <c r="P22" s="692"/>
      <c r="Q22" s="692"/>
      <c r="R22" s="692"/>
      <c r="S22" s="692"/>
      <c r="T22" s="635"/>
      <c r="U22" s="692"/>
      <c r="V22" s="692"/>
      <c r="W22" s="692"/>
      <c r="X22" s="692"/>
      <c r="Y22" s="692"/>
      <c r="Z22" s="692"/>
      <c r="AA22" s="692"/>
    </row>
    <row r="23" spans="1:27" x14ac:dyDescent="0.25">
      <c r="A23" s="627">
        <v>3.1</v>
      </c>
      <c r="B23" s="653" t="s">
        <v>640</v>
      </c>
      <c r="C23" s="653"/>
      <c r="D23" s="635"/>
      <c r="E23" s="692"/>
      <c r="F23" s="692"/>
      <c r="G23" s="692"/>
      <c r="H23" s="635"/>
      <c r="I23" s="692"/>
      <c r="J23" s="692"/>
      <c r="K23" s="692"/>
      <c r="L23" s="635"/>
      <c r="M23" s="692"/>
      <c r="N23" s="692"/>
      <c r="O23" s="692"/>
      <c r="P23" s="692"/>
      <c r="Q23" s="692"/>
      <c r="R23" s="692"/>
      <c r="S23" s="692"/>
      <c r="T23" s="635"/>
      <c r="U23" s="692"/>
      <c r="V23" s="692"/>
      <c r="W23" s="692"/>
      <c r="X23" s="692"/>
      <c r="Y23" s="692"/>
      <c r="Z23" s="692"/>
      <c r="AA23" s="692"/>
    </row>
    <row r="24" spans="1:27" x14ac:dyDescent="0.25">
      <c r="A24" s="627">
        <v>3.2</v>
      </c>
      <c r="B24" s="653" t="s">
        <v>641</v>
      </c>
      <c r="C24" s="653"/>
      <c r="D24" s="635"/>
      <c r="E24" s="692"/>
      <c r="F24" s="692"/>
      <c r="G24" s="692"/>
      <c r="H24" s="635"/>
      <c r="I24" s="692"/>
      <c r="J24" s="692"/>
      <c r="K24" s="692"/>
      <c r="L24" s="635"/>
      <c r="M24" s="692"/>
      <c r="N24" s="692"/>
      <c r="O24" s="692"/>
      <c r="P24" s="692"/>
      <c r="Q24" s="692"/>
      <c r="R24" s="692"/>
      <c r="S24" s="692"/>
      <c r="T24" s="635"/>
      <c r="U24" s="692"/>
      <c r="V24" s="692"/>
      <c r="W24" s="692"/>
      <c r="X24" s="692"/>
      <c r="Y24" s="692"/>
      <c r="Z24" s="692"/>
      <c r="AA24" s="692"/>
    </row>
    <row r="25" spans="1:27" x14ac:dyDescent="0.25">
      <c r="A25" s="627">
        <v>3.3</v>
      </c>
      <c r="B25" s="653" t="s">
        <v>642</v>
      </c>
      <c r="C25" s="653"/>
      <c r="D25" s="635"/>
      <c r="E25" s="692"/>
      <c r="F25" s="692"/>
      <c r="G25" s="692"/>
      <c r="H25" s="635"/>
      <c r="I25" s="692"/>
      <c r="J25" s="692"/>
      <c r="K25" s="692"/>
      <c r="L25" s="635"/>
      <c r="M25" s="692"/>
      <c r="N25" s="692"/>
      <c r="O25" s="692"/>
      <c r="P25" s="692"/>
      <c r="Q25" s="692"/>
      <c r="R25" s="692"/>
      <c r="S25" s="692"/>
      <c r="T25" s="635"/>
      <c r="U25" s="692"/>
      <c r="V25" s="692"/>
      <c r="W25" s="692"/>
      <c r="X25" s="692"/>
      <c r="Y25" s="692"/>
      <c r="Z25" s="692"/>
      <c r="AA25" s="692"/>
    </row>
    <row r="26" spans="1:27" x14ac:dyDescent="0.25">
      <c r="A26" s="627">
        <v>3.4</v>
      </c>
      <c r="B26" s="653" t="s">
        <v>643</v>
      </c>
      <c r="C26" s="653"/>
      <c r="D26" s="635"/>
      <c r="E26" s="692"/>
      <c r="F26" s="692"/>
      <c r="G26" s="692"/>
      <c r="H26" s="635"/>
      <c r="I26" s="692"/>
      <c r="J26" s="692"/>
      <c r="K26" s="692"/>
      <c r="L26" s="635"/>
      <c r="M26" s="692"/>
      <c r="N26" s="692"/>
      <c r="O26" s="692"/>
      <c r="P26" s="692"/>
      <c r="Q26" s="692"/>
      <c r="R26" s="692"/>
      <c r="S26" s="692"/>
      <c r="T26" s="635"/>
      <c r="U26" s="692"/>
      <c r="V26" s="692"/>
      <c r="W26" s="692"/>
      <c r="X26" s="692"/>
      <c r="Y26" s="692"/>
      <c r="Z26" s="692"/>
      <c r="AA26" s="692"/>
    </row>
    <row r="27" spans="1:27" x14ac:dyDescent="0.25">
      <c r="A27" s="627">
        <v>3.5</v>
      </c>
      <c r="B27" s="653" t="s">
        <v>644</v>
      </c>
      <c r="C27" s="953">
        <f>D27+H27+L27</f>
        <v>755104</v>
      </c>
      <c r="D27" s="954">
        <f>'4. Off-balance'!E28</f>
        <v>755104</v>
      </c>
      <c r="E27" s="692"/>
      <c r="F27" s="692"/>
      <c r="G27" s="692"/>
      <c r="H27" s="635"/>
      <c r="I27" s="692"/>
      <c r="J27" s="692"/>
      <c r="K27" s="692"/>
      <c r="L27" s="635"/>
      <c r="M27" s="692"/>
      <c r="N27" s="692"/>
      <c r="O27" s="692"/>
      <c r="P27" s="692"/>
      <c r="Q27" s="692"/>
      <c r="R27" s="692"/>
      <c r="S27" s="692"/>
      <c r="T27" s="635"/>
      <c r="U27" s="692"/>
      <c r="V27" s="692"/>
      <c r="W27" s="692"/>
      <c r="X27" s="692"/>
      <c r="Y27" s="692"/>
      <c r="Z27" s="692"/>
      <c r="AA27" s="692"/>
    </row>
    <row r="28" spans="1:27" x14ac:dyDescent="0.25">
      <c r="A28" s="627">
        <v>3.6</v>
      </c>
      <c r="B28" s="653" t="s">
        <v>645</v>
      </c>
      <c r="C28" s="953">
        <f>'4. Off-balance'!E27</f>
        <v>2626963.87</v>
      </c>
      <c r="D28" s="955"/>
      <c r="E28" s="692"/>
      <c r="F28" s="692"/>
      <c r="G28" s="692"/>
      <c r="H28" s="635"/>
      <c r="I28" s="692"/>
      <c r="J28" s="692"/>
      <c r="K28" s="692"/>
      <c r="L28" s="635"/>
      <c r="M28" s="692"/>
      <c r="N28" s="692"/>
      <c r="O28" s="692"/>
      <c r="P28" s="692"/>
      <c r="Q28" s="692"/>
      <c r="R28" s="692"/>
      <c r="S28" s="692"/>
      <c r="T28" s="635"/>
      <c r="U28" s="692"/>
      <c r="V28" s="692"/>
      <c r="W28" s="692"/>
      <c r="X28" s="692"/>
      <c r="Y28" s="692"/>
      <c r="Z28" s="692"/>
      <c r="AA28" s="692"/>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E149-1909-4FC7-9543-4CFA003F2EDB}">
  <dimension ref="A1:AB25"/>
  <sheetViews>
    <sheetView showGridLines="0" zoomScaleNormal="100" workbookViewId="0">
      <selection activeCell="C8" sqref="C8:S22"/>
    </sheetView>
  </sheetViews>
  <sheetFormatPr defaultColWidth="9.109375" defaultRowHeight="12" x14ac:dyDescent="0.25"/>
  <cols>
    <col min="1" max="1" width="11.88671875" style="617" bestFit="1" customWidth="1"/>
    <col min="2" max="2" width="90.33203125" style="617" bestFit="1" customWidth="1"/>
    <col min="3" max="3" width="20.109375" style="617" customWidth="1"/>
    <col min="4" max="4" width="22.33203125" style="617" customWidth="1"/>
    <col min="5" max="7" width="17.109375" style="617" customWidth="1"/>
    <col min="8" max="8" width="22.33203125" style="617" customWidth="1"/>
    <col min="9" max="10" width="17.109375" style="617" customWidth="1"/>
    <col min="11" max="19" width="22.33203125" style="617" customWidth="1"/>
    <col min="20" max="27" width="22.33203125" style="617" hidden="1" customWidth="1"/>
    <col min="28" max="16384" width="9.109375" style="617"/>
  </cols>
  <sheetData>
    <row r="1" spans="1:28" ht="13.8" x14ac:dyDescent="0.3">
      <c r="A1" s="585" t="s">
        <v>0</v>
      </c>
      <c r="B1" s="2" t="s">
        <v>199</v>
      </c>
    </row>
    <row r="2" spans="1:28" x14ac:dyDescent="0.25">
      <c r="A2" s="585" t="s">
        <v>1</v>
      </c>
      <c r="B2" s="587">
        <f>'1. key ratios'!B2</f>
        <v>45016</v>
      </c>
    </row>
    <row r="3" spans="1:28" x14ac:dyDescent="0.25">
      <c r="A3" s="588" t="s">
        <v>647</v>
      </c>
      <c r="C3" s="693"/>
    </row>
    <row r="4" spans="1:28" ht="12.6" thickBot="1" x14ac:dyDescent="0.3">
      <c r="A4" s="588"/>
      <c r="B4" s="693"/>
      <c r="C4" s="693"/>
    </row>
    <row r="5" spans="1:28" ht="13.5" customHeight="1" x14ac:dyDescent="0.25">
      <c r="A5" s="694" t="s">
        <v>648</v>
      </c>
      <c r="B5" s="695"/>
      <c r="C5" s="696" t="s">
        <v>649</v>
      </c>
      <c r="D5" s="697"/>
      <c r="E5" s="697"/>
      <c r="F5" s="697"/>
      <c r="G5" s="697"/>
      <c r="H5" s="697"/>
      <c r="I5" s="697"/>
      <c r="J5" s="697"/>
      <c r="K5" s="697"/>
      <c r="L5" s="697"/>
      <c r="M5" s="697"/>
      <c r="N5" s="697"/>
      <c r="O5" s="697"/>
      <c r="P5" s="697"/>
      <c r="Q5" s="697"/>
      <c r="R5" s="697"/>
      <c r="S5" s="697"/>
      <c r="T5" s="697"/>
      <c r="U5" s="697"/>
      <c r="V5" s="697"/>
      <c r="W5" s="697"/>
      <c r="X5" s="697"/>
      <c r="Y5" s="697"/>
      <c r="Z5" s="697"/>
      <c r="AA5" s="698"/>
    </row>
    <row r="6" spans="1:28" ht="12" customHeight="1" x14ac:dyDescent="0.25">
      <c r="A6" s="699"/>
      <c r="B6" s="700"/>
      <c r="C6" s="701" t="s">
        <v>54</v>
      </c>
      <c r="D6" s="621" t="s">
        <v>628</v>
      </c>
      <c r="E6" s="621"/>
      <c r="F6" s="621"/>
      <c r="G6" s="621"/>
      <c r="H6" s="678" t="s">
        <v>629</v>
      </c>
      <c r="I6" s="679"/>
      <c r="J6" s="679"/>
      <c r="K6" s="679"/>
      <c r="L6" s="683"/>
      <c r="M6" s="643" t="s">
        <v>630</v>
      </c>
      <c r="N6" s="643"/>
      <c r="O6" s="643"/>
      <c r="P6" s="643"/>
      <c r="Q6" s="643"/>
      <c r="R6" s="643"/>
      <c r="S6" s="620"/>
      <c r="T6" s="683"/>
      <c r="U6" s="643" t="s">
        <v>631</v>
      </c>
      <c r="V6" s="643"/>
      <c r="W6" s="643"/>
      <c r="X6" s="643"/>
      <c r="Y6" s="643"/>
      <c r="Z6" s="643"/>
      <c r="AA6" s="702"/>
    </row>
    <row r="7" spans="1:28" ht="36" x14ac:dyDescent="0.25">
      <c r="A7" s="703"/>
      <c r="B7" s="704"/>
      <c r="C7" s="705"/>
      <c r="D7" s="687"/>
      <c r="E7" s="622" t="s">
        <v>632</v>
      </c>
      <c r="F7" s="622" t="s">
        <v>633</v>
      </c>
      <c r="G7" s="622" t="s">
        <v>634</v>
      </c>
      <c r="H7" s="618"/>
      <c r="I7" s="622" t="s">
        <v>632</v>
      </c>
      <c r="J7" s="622" t="s">
        <v>633</v>
      </c>
      <c r="K7" s="622" t="s">
        <v>634</v>
      </c>
      <c r="L7" s="690"/>
      <c r="M7" s="622" t="s">
        <v>632</v>
      </c>
      <c r="N7" s="622" t="s">
        <v>650</v>
      </c>
      <c r="O7" s="622" t="s">
        <v>651</v>
      </c>
      <c r="P7" s="622" t="s">
        <v>652</v>
      </c>
      <c r="Q7" s="622" t="s">
        <v>653</v>
      </c>
      <c r="R7" s="622" t="s">
        <v>654</v>
      </c>
      <c r="S7" s="622" t="s">
        <v>639</v>
      </c>
      <c r="T7" s="690"/>
      <c r="U7" s="622" t="s">
        <v>632</v>
      </c>
      <c r="V7" s="622" t="s">
        <v>650</v>
      </c>
      <c r="W7" s="622" t="s">
        <v>651</v>
      </c>
      <c r="X7" s="622" t="s">
        <v>652</v>
      </c>
      <c r="Y7" s="622" t="s">
        <v>653</v>
      </c>
      <c r="Z7" s="622" t="s">
        <v>654</v>
      </c>
      <c r="AA7" s="622" t="s">
        <v>639</v>
      </c>
    </row>
    <row r="8" spans="1:28" x14ac:dyDescent="0.25">
      <c r="A8" s="706">
        <v>1</v>
      </c>
      <c r="B8" s="707" t="s">
        <v>597</v>
      </c>
      <c r="C8" s="708">
        <f>'22. Quality'!C8</f>
        <v>18441884.764709156</v>
      </c>
      <c r="D8" s="708">
        <f>'22. Quality'!D8</f>
        <v>16863894.554709155</v>
      </c>
      <c r="E8" s="708">
        <f>'22. Quality'!E8</f>
        <v>210601.7</v>
      </c>
      <c r="F8" s="708">
        <f>'22. Quality'!F8</f>
        <v>232.12</v>
      </c>
      <c r="G8" s="708">
        <f>'22. Quality'!G8</f>
        <v>0</v>
      </c>
      <c r="H8" s="708">
        <f>'22. Quality'!H8</f>
        <v>321652.24999999994</v>
      </c>
      <c r="I8" s="708">
        <f>'22. Quality'!I8</f>
        <v>123628.55</v>
      </c>
      <c r="J8" s="708">
        <f>'22. Quality'!J8</f>
        <v>1420.15</v>
      </c>
      <c r="K8" s="708">
        <f>'22. Quality'!K8</f>
        <v>0</v>
      </c>
      <c r="L8" s="708">
        <f>'22. Quality'!L8</f>
        <v>1256337.96</v>
      </c>
      <c r="M8" s="708">
        <f>'22. Quality'!M8</f>
        <v>855.08999999999992</v>
      </c>
      <c r="N8" s="708">
        <f>'22. Quality'!N8</f>
        <v>0</v>
      </c>
      <c r="O8" s="708">
        <f>'22. Quality'!O8</f>
        <v>13996.800000000001</v>
      </c>
      <c r="P8" s="708">
        <f>'22. Quality'!P8</f>
        <v>19326.459999999995</v>
      </c>
      <c r="Q8" s="708">
        <f>'22. Quality'!Q8</f>
        <v>0</v>
      </c>
      <c r="R8" s="708">
        <f>'22. Quality'!R8</f>
        <v>1058532.6599999999</v>
      </c>
      <c r="S8" s="708">
        <f>'22. Quality'!S8</f>
        <v>0</v>
      </c>
      <c r="T8" s="627"/>
      <c r="U8" s="627"/>
      <c r="V8" s="627"/>
      <c r="W8" s="627"/>
      <c r="X8" s="627"/>
      <c r="Y8" s="627"/>
      <c r="Z8" s="627"/>
      <c r="AA8" s="709"/>
      <c r="AB8" s="586"/>
    </row>
    <row r="9" spans="1:28" x14ac:dyDescent="0.25">
      <c r="A9" s="710">
        <v>1.1000000000000001</v>
      </c>
      <c r="B9" s="711" t="s">
        <v>655</v>
      </c>
      <c r="C9" s="712">
        <v>14047690.054709148</v>
      </c>
      <c r="D9" s="626">
        <v>12793442.304709148</v>
      </c>
      <c r="E9" s="626">
        <v>210601.7</v>
      </c>
      <c r="F9" s="626">
        <v>232.12</v>
      </c>
      <c r="G9" s="626">
        <v>0</v>
      </c>
      <c r="H9" s="626">
        <v>123925.39000000001</v>
      </c>
      <c r="I9" s="626">
        <v>123628.55000000002</v>
      </c>
      <c r="J9" s="626">
        <v>1420.15</v>
      </c>
      <c r="K9" s="626">
        <v>0</v>
      </c>
      <c r="L9" s="626">
        <v>1130322.3599999999</v>
      </c>
      <c r="M9" s="626">
        <v>855.08999999999992</v>
      </c>
      <c r="N9" s="626">
        <v>0</v>
      </c>
      <c r="O9" s="626">
        <v>13996.800000000001</v>
      </c>
      <c r="P9" s="626">
        <v>19326.459999999995</v>
      </c>
      <c r="Q9" s="626">
        <v>0</v>
      </c>
      <c r="R9" s="626">
        <v>1058532.6599999999</v>
      </c>
      <c r="S9" s="626">
        <v>0</v>
      </c>
      <c r="T9" s="627"/>
      <c r="U9" s="627"/>
      <c r="V9" s="627"/>
      <c r="W9" s="627"/>
      <c r="X9" s="627"/>
      <c r="Y9" s="627"/>
      <c r="Z9" s="627"/>
      <c r="AA9" s="709"/>
      <c r="AB9" s="586"/>
    </row>
    <row r="10" spans="1:28" x14ac:dyDescent="0.25">
      <c r="A10" s="713" t="s">
        <v>295</v>
      </c>
      <c r="B10" s="714" t="s">
        <v>656</v>
      </c>
      <c r="C10" s="715">
        <v>13990831.264709149</v>
      </c>
      <c r="D10" s="626">
        <v>12737926.254709149</v>
      </c>
      <c r="E10" s="626">
        <v>210601.7</v>
      </c>
      <c r="F10" s="626">
        <v>232.12</v>
      </c>
      <c r="G10" s="626">
        <v>0</v>
      </c>
      <c r="H10" s="626">
        <v>122582.65000000001</v>
      </c>
      <c r="I10" s="626">
        <v>123628.55000000002</v>
      </c>
      <c r="J10" s="626">
        <v>1420.15</v>
      </c>
      <c r="K10" s="626">
        <v>0</v>
      </c>
      <c r="L10" s="626">
        <v>1130322.3599999999</v>
      </c>
      <c r="M10" s="626">
        <v>855.08999999999992</v>
      </c>
      <c r="N10" s="626">
        <v>0</v>
      </c>
      <c r="O10" s="626">
        <v>13996.800000000001</v>
      </c>
      <c r="P10" s="626">
        <v>19326.459999999995</v>
      </c>
      <c r="Q10" s="626">
        <v>0</v>
      </c>
      <c r="R10" s="626">
        <v>1058532.6599999999</v>
      </c>
      <c r="S10" s="626">
        <v>0</v>
      </c>
      <c r="T10" s="627"/>
      <c r="U10" s="627"/>
      <c r="V10" s="627"/>
      <c r="W10" s="627"/>
      <c r="X10" s="627"/>
      <c r="Y10" s="627"/>
      <c r="Z10" s="627"/>
      <c r="AA10" s="709"/>
    </row>
    <row r="11" spans="1:28" x14ac:dyDescent="0.25">
      <c r="A11" s="716" t="s">
        <v>657</v>
      </c>
      <c r="B11" s="717" t="s">
        <v>658</v>
      </c>
      <c r="C11" s="718">
        <v>11255721.704709146</v>
      </c>
      <c r="D11" s="626">
        <v>10002816.694709146</v>
      </c>
      <c r="E11" s="626">
        <v>35084.049999999996</v>
      </c>
      <c r="F11" s="626">
        <v>0</v>
      </c>
      <c r="G11" s="626">
        <v>0</v>
      </c>
      <c r="H11" s="626">
        <v>122582.65000000001</v>
      </c>
      <c r="I11" s="626">
        <v>122582.65000000001</v>
      </c>
      <c r="J11" s="626">
        <v>0</v>
      </c>
      <c r="K11" s="626">
        <v>0</v>
      </c>
      <c r="L11" s="626">
        <v>1130322.3599999999</v>
      </c>
      <c r="M11" s="626">
        <v>0</v>
      </c>
      <c r="N11" s="626">
        <v>0</v>
      </c>
      <c r="O11" s="626">
        <v>0</v>
      </c>
      <c r="P11" s="626">
        <v>0</v>
      </c>
      <c r="Q11" s="626">
        <v>0</v>
      </c>
      <c r="R11" s="626">
        <v>1058532.6599999999</v>
      </c>
      <c r="S11" s="626">
        <v>0</v>
      </c>
      <c r="T11" s="627"/>
      <c r="U11" s="627"/>
      <c r="V11" s="627"/>
      <c r="W11" s="627"/>
      <c r="X11" s="627"/>
      <c r="Y11" s="627"/>
      <c r="Z11" s="627"/>
      <c r="AA11" s="709"/>
    </row>
    <row r="12" spans="1:28" x14ac:dyDescent="0.25">
      <c r="A12" s="716" t="s">
        <v>659</v>
      </c>
      <c r="B12" s="717" t="s">
        <v>660</v>
      </c>
      <c r="C12" s="718">
        <v>800208.84999999986</v>
      </c>
      <c r="D12" s="626">
        <v>800208.84999999986</v>
      </c>
      <c r="E12" s="626">
        <v>0</v>
      </c>
      <c r="F12" s="626">
        <v>0</v>
      </c>
      <c r="G12" s="626">
        <v>0</v>
      </c>
      <c r="H12" s="626">
        <v>0</v>
      </c>
      <c r="I12" s="626">
        <v>0</v>
      </c>
      <c r="J12" s="626">
        <v>0</v>
      </c>
      <c r="K12" s="626">
        <v>0</v>
      </c>
      <c r="L12" s="626">
        <v>0</v>
      </c>
      <c r="M12" s="626">
        <v>0</v>
      </c>
      <c r="N12" s="626">
        <v>0</v>
      </c>
      <c r="O12" s="626">
        <v>0</v>
      </c>
      <c r="P12" s="626">
        <v>0</v>
      </c>
      <c r="Q12" s="626">
        <v>0</v>
      </c>
      <c r="R12" s="626">
        <v>0</v>
      </c>
      <c r="S12" s="626">
        <v>0</v>
      </c>
      <c r="T12" s="627"/>
      <c r="U12" s="627"/>
      <c r="V12" s="627"/>
      <c r="W12" s="627"/>
      <c r="X12" s="627"/>
      <c r="Y12" s="627"/>
      <c r="Z12" s="627"/>
      <c r="AA12" s="709"/>
    </row>
    <row r="13" spans="1:28" x14ac:dyDescent="0.25">
      <c r="A13" s="716" t="s">
        <v>661</v>
      </c>
      <c r="B13" s="717" t="s">
        <v>662</v>
      </c>
      <c r="C13" s="718">
        <v>41056.050000000003</v>
      </c>
      <c r="D13" s="626">
        <v>41056.050000000003</v>
      </c>
      <c r="E13" s="626">
        <v>0</v>
      </c>
      <c r="F13" s="626">
        <v>0</v>
      </c>
      <c r="G13" s="626">
        <v>0</v>
      </c>
      <c r="H13" s="626">
        <v>0</v>
      </c>
      <c r="I13" s="626">
        <v>0</v>
      </c>
      <c r="J13" s="626">
        <v>0</v>
      </c>
      <c r="K13" s="626">
        <v>0</v>
      </c>
      <c r="L13" s="626">
        <v>0</v>
      </c>
      <c r="M13" s="626">
        <v>0</v>
      </c>
      <c r="N13" s="626">
        <v>0</v>
      </c>
      <c r="O13" s="626">
        <v>0</v>
      </c>
      <c r="P13" s="626">
        <v>0</v>
      </c>
      <c r="Q13" s="626">
        <v>0</v>
      </c>
      <c r="R13" s="626">
        <v>0</v>
      </c>
      <c r="S13" s="626">
        <v>0</v>
      </c>
      <c r="T13" s="627"/>
      <c r="U13" s="627"/>
      <c r="V13" s="627"/>
      <c r="W13" s="627"/>
      <c r="X13" s="627"/>
      <c r="Y13" s="627"/>
      <c r="Z13" s="627"/>
      <c r="AA13" s="709"/>
    </row>
    <row r="14" spans="1:28" x14ac:dyDescent="0.25">
      <c r="A14" s="716" t="s">
        <v>663</v>
      </c>
      <c r="B14" s="717" t="s">
        <v>664</v>
      </c>
      <c r="C14" s="718">
        <v>1893844.66</v>
      </c>
      <c r="D14" s="626">
        <v>1893844.66</v>
      </c>
      <c r="E14" s="626">
        <v>0</v>
      </c>
      <c r="F14" s="626">
        <v>0</v>
      </c>
      <c r="G14" s="626">
        <v>0</v>
      </c>
      <c r="H14" s="626">
        <v>0</v>
      </c>
      <c r="I14" s="626">
        <v>0</v>
      </c>
      <c r="J14" s="626">
        <v>0</v>
      </c>
      <c r="K14" s="626">
        <v>0</v>
      </c>
      <c r="L14" s="626">
        <v>0</v>
      </c>
      <c r="M14" s="626">
        <v>0</v>
      </c>
      <c r="N14" s="626">
        <v>0</v>
      </c>
      <c r="O14" s="626">
        <v>0</v>
      </c>
      <c r="P14" s="626">
        <v>0</v>
      </c>
      <c r="Q14" s="626">
        <v>0</v>
      </c>
      <c r="R14" s="626">
        <v>0</v>
      </c>
      <c r="S14" s="626">
        <v>0</v>
      </c>
      <c r="T14" s="627"/>
      <c r="U14" s="627"/>
      <c r="V14" s="627"/>
      <c r="W14" s="627"/>
      <c r="X14" s="627"/>
      <c r="Y14" s="627"/>
      <c r="Z14" s="627"/>
      <c r="AA14" s="709"/>
    </row>
    <row r="15" spans="1:28" x14ac:dyDescent="0.25">
      <c r="A15" s="719">
        <v>1.2</v>
      </c>
      <c r="B15" s="720" t="s">
        <v>665</v>
      </c>
      <c r="C15" s="712">
        <v>728173.7687761269</v>
      </c>
      <c r="D15" s="626">
        <v>360387.30426844745</v>
      </c>
      <c r="E15" s="626">
        <v>24548.786981079855</v>
      </c>
      <c r="F15" s="626">
        <v>3.5815750291545063</v>
      </c>
      <c r="G15" s="626">
        <v>0</v>
      </c>
      <c r="H15" s="626">
        <v>72081.21447419071</v>
      </c>
      <c r="I15" s="626">
        <v>47514.926612491086</v>
      </c>
      <c r="J15" s="626">
        <v>718.5726370936726</v>
      </c>
      <c r="K15" s="626">
        <v>0</v>
      </c>
      <c r="L15" s="626">
        <v>465662.32652599784</v>
      </c>
      <c r="M15" s="626">
        <v>682.35380902697455</v>
      </c>
      <c r="N15" s="626">
        <v>0</v>
      </c>
      <c r="O15" s="626">
        <v>8435.9103948994816</v>
      </c>
      <c r="P15" s="626">
        <v>11039.564299680074</v>
      </c>
      <c r="Q15" s="626">
        <v>0</v>
      </c>
      <c r="R15" s="626">
        <v>365065.72990251967</v>
      </c>
      <c r="S15" s="626">
        <v>0</v>
      </c>
      <c r="T15" s="627"/>
      <c r="U15" s="627"/>
      <c r="V15" s="627"/>
      <c r="W15" s="627"/>
      <c r="X15" s="627"/>
      <c r="Y15" s="627"/>
      <c r="Z15" s="627"/>
      <c r="AA15" s="709"/>
    </row>
    <row r="16" spans="1:28" x14ac:dyDescent="0.25">
      <c r="A16" s="710">
        <v>1.3</v>
      </c>
      <c r="B16" s="720" t="s">
        <v>666</v>
      </c>
      <c r="C16" s="721">
        <f>C17+C19</f>
        <v>42881864.562679127</v>
      </c>
      <c r="D16" s="721">
        <f t="shared" ref="D16:S16" si="0">D17+D19</f>
        <v>34399940.562679127</v>
      </c>
      <c r="E16" s="721">
        <f t="shared" si="0"/>
        <v>168889.2</v>
      </c>
      <c r="F16" s="721">
        <f t="shared" si="0"/>
        <v>0</v>
      </c>
      <c r="G16" s="721">
        <f t="shared" si="0"/>
        <v>0</v>
      </c>
      <c r="H16" s="721">
        <f t="shared" si="0"/>
        <v>5537463.9999999991</v>
      </c>
      <c r="I16" s="721">
        <f t="shared" si="0"/>
        <v>5530464</v>
      </c>
      <c r="J16" s="721">
        <f t="shared" si="0"/>
        <v>0</v>
      </c>
      <c r="K16" s="721">
        <f t="shared" si="0"/>
        <v>0</v>
      </c>
      <c r="L16" s="721">
        <f t="shared" si="0"/>
        <v>2944460</v>
      </c>
      <c r="M16" s="721">
        <f t="shared" si="0"/>
        <v>0</v>
      </c>
      <c r="N16" s="721">
        <f t="shared" si="0"/>
        <v>0</v>
      </c>
      <c r="O16" s="721">
        <f t="shared" si="0"/>
        <v>0</v>
      </c>
      <c r="P16" s="721">
        <f t="shared" si="0"/>
        <v>0</v>
      </c>
      <c r="Q16" s="721">
        <f t="shared" si="0"/>
        <v>0</v>
      </c>
      <c r="R16" s="721">
        <f t="shared" si="0"/>
        <v>2834362.8</v>
      </c>
      <c r="S16" s="721">
        <f t="shared" si="0"/>
        <v>0</v>
      </c>
      <c r="T16" s="722"/>
      <c r="U16" s="722"/>
      <c r="V16" s="722"/>
      <c r="W16" s="722"/>
      <c r="X16" s="722"/>
      <c r="Y16" s="722"/>
      <c r="Z16" s="722"/>
      <c r="AA16" s="723"/>
    </row>
    <row r="17" spans="1:27" ht="24" x14ac:dyDescent="0.25">
      <c r="A17" s="724" t="s">
        <v>667</v>
      </c>
      <c r="B17" s="725" t="s">
        <v>668</v>
      </c>
      <c r="C17" s="726">
        <f>D17+H17+L17</f>
        <v>14005842.557388296</v>
      </c>
      <c r="D17" s="626">
        <v>12751594.807388296</v>
      </c>
      <c r="E17" s="626">
        <v>85478.569999999992</v>
      </c>
      <c r="F17" s="626">
        <v>0</v>
      </c>
      <c r="G17" s="626">
        <v>0</v>
      </c>
      <c r="H17" s="626">
        <v>123925.39000000001</v>
      </c>
      <c r="I17" s="626">
        <v>122582.65000000001</v>
      </c>
      <c r="J17" s="626">
        <v>0</v>
      </c>
      <c r="K17" s="626">
        <v>0</v>
      </c>
      <c r="L17" s="626">
        <v>1130322.3599999999</v>
      </c>
      <c r="M17" s="626">
        <v>0</v>
      </c>
      <c r="N17" s="626">
        <v>0</v>
      </c>
      <c r="O17" s="626">
        <v>0</v>
      </c>
      <c r="P17" s="626">
        <v>0</v>
      </c>
      <c r="Q17" s="626">
        <v>0</v>
      </c>
      <c r="R17" s="626">
        <v>1058532.6599999999</v>
      </c>
      <c r="S17" s="626">
        <v>0</v>
      </c>
      <c r="T17" s="627"/>
      <c r="U17" s="627"/>
      <c r="V17" s="627"/>
      <c r="W17" s="627"/>
      <c r="X17" s="627"/>
      <c r="Y17" s="627"/>
      <c r="Z17" s="627"/>
      <c r="AA17" s="709"/>
    </row>
    <row r="18" spans="1:27" ht="24" x14ac:dyDescent="0.25">
      <c r="A18" s="727" t="s">
        <v>669</v>
      </c>
      <c r="B18" s="728" t="s">
        <v>670</v>
      </c>
      <c r="C18" s="726">
        <f t="shared" ref="C18:C20" si="1">D18+H18+L18</f>
        <v>13948983.767388297</v>
      </c>
      <c r="D18" s="626">
        <v>12696078.757388297</v>
      </c>
      <c r="E18" s="626">
        <v>35084.049999999996</v>
      </c>
      <c r="F18" s="626">
        <v>0</v>
      </c>
      <c r="G18" s="626">
        <v>0</v>
      </c>
      <c r="H18" s="626">
        <v>122582.65000000001</v>
      </c>
      <c r="I18" s="626">
        <v>122582.65000000001</v>
      </c>
      <c r="J18" s="626">
        <v>0</v>
      </c>
      <c r="K18" s="626">
        <v>0</v>
      </c>
      <c r="L18" s="626">
        <v>1130322.3599999999</v>
      </c>
      <c r="M18" s="626">
        <v>0</v>
      </c>
      <c r="N18" s="626">
        <v>0</v>
      </c>
      <c r="O18" s="626">
        <v>0</v>
      </c>
      <c r="P18" s="626">
        <v>0</v>
      </c>
      <c r="Q18" s="626">
        <v>0</v>
      </c>
      <c r="R18" s="626">
        <v>1058532.6599999999</v>
      </c>
      <c r="S18" s="626">
        <v>0</v>
      </c>
      <c r="T18" s="627"/>
      <c r="U18" s="627"/>
      <c r="V18" s="627"/>
      <c r="W18" s="627"/>
      <c r="X18" s="627"/>
      <c r="Y18" s="627"/>
      <c r="Z18" s="627"/>
      <c r="AA18" s="709"/>
    </row>
    <row r="19" spans="1:27" x14ac:dyDescent="0.25">
      <c r="A19" s="724" t="s">
        <v>671</v>
      </c>
      <c r="B19" s="729" t="s">
        <v>672</v>
      </c>
      <c r="C19" s="726">
        <f t="shared" si="1"/>
        <v>28876022.005290832</v>
      </c>
      <c r="D19" s="626">
        <v>21648345.755290832</v>
      </c>
      <c r="E19" s="626">
        <v>83410.63</v>
      </c>
      <c r="F19" s="626">
        <v>0</v>
      </c>
      <c r="G19" s="626">
        <v>0</v>
      </c>
      <c r="H19" s="626">
        <v>5413538.6099999994</v>
      </c>
      <c r="I19" s="626">
        <v>5407881.3499999996</v>
      </c>
      <c r="J19" s="626">
        <v>0</v>
      </c>
      <c r="K19" s="626">
        <v>0</v>
      </c>
      <c r="L19" s="626">
        <v>1814137.64</v>
      </c>
      <c r="M19" s="626">
        <v>0</v>
      </c>
      <c r="N19" s="626">
        <v>0</v>
      </c>
      <c r="O19" s="626">
        <v>0</v>
      </c>
      <c r="P19" s="626">
        <v>0</v>
      </c>
      <c r="Q19" s="626">
        <v>0</v>
      </c>
      <c r="R19" s="626">
        <v>1775830.14</v>
      </c>
      <c r="S19" s="626">
        <v>0</v>
      </c>
      <c r="T19" s="627"/>
      <c r="U19" s="627"/>
      <c r="V19" s="627"/>
      <c r="W19" s="627"/>
      <c r="X19" s="627"/>
      <c r="Y19" s="627"/>
      <c r="Z19" s="627"/>
      <c r="AA19" s="709"/>
    </row>
    <row r="20" spans="1:27" x14ac:dyDescent="0.25">
      <c r="A20" s="727" t="s">
        <v>673</v>
      </c>
      <c r="B20" s="728" t="s">
        <v>674</v>
      </c>
      <c r="C20" s="726">
        <f t="shared" si="1"/>
        <v>12926400.79529085</v>
      </c>
      <c r="D20" s="626">
        <v>10825181.80529085</v>
      </c>
      <c r="E20" s="626">
        <v>23805.15</v>
      </c>
      <c r="F20" s="626">
        <v>0</v>
      </c>
      <c r="G20" s="626">
        <v>0</v>
      </c>
      <c r="H20" s="626">
        <v>287081.34999999998</v>
      </c>
      <c r="I20" s="626">
        <v>287081.34999999998</v>
      </c>
      <c r="J20" s="626">
        <v>0</v>
      </c>
      <c r="K20" s="626">
        <v>0</v>
      </c>
      <c r="L20" s="626">
        <v>1814137.64</v>
      </c>
      <c r="M20" s="626">
        <v>0</v>
      </c>
      <c r="N20" s="626">
        <v>0</v>
      </c>
      <c r="O20" s="626">
        <v>0</v>
      </c>
      <c r="P20" s="626">
        <v>0</v>
      </c>
      <c r="Q20" s="626">
        <v>0</v>
      </c>
      <c r="R20" s="626">
        <v>1775830.14</v>
      </c>
      <c r="S20" s="626">
        <v>0</v>
      </c>
      <c r="T20" s="627"/>
      <c r="U20" s="627"/>
      <c r="V20" s="627"/>
      <c r="W20" s="627"/>
      <c r="X20" s="627"/>
      <c r="Y20" s="627"/>
      <c r="Z20" s="627"/>
      <c r="AA20" s="709"/>
    </row>
    <row r="21" spans="1:27" x14ac:dyDescent="0.25">
      <c r="A21" s="730">
        <v>1.4</v>
      </c>
      <c r="B21" s="731" t="s">
        <v>675</v>
      </c>
      <c r="C21" s="732"/>
      <c r="D21" s="626"/>
      <c r="E21" s="626"/>
      <c r="F21" s="626"/>
      <c r="G21" s="626"/>
      <c r="H21" s="626"/>
      <c r="I21" s="626"/>
      <c r="J21" s="626"/>
      <c r="K21" s="626"/>
      <c r="L21" s="626"/>
      <c r="M21" s="626"/>
      <c r="N21" s="626"/>
      <c r="O21" s="626"/>
      <c r="P21" s="626"/>
      <c r="Q21" s="626"/>
      <c r="R21" s="626"/>
      <c r="S21" s="626"/>
      <c r="T21" s="627"/>
      <c r="U21" s="627"/>
      <c r="V21" s="627"/>
      <c r="W21" s="627"/>
      <c r="X21" s="627"/>
      <c r="Y21" s="627"/>
      <c r="Z21" s="627"/>
      <c r="AA21" s="709"/>
    </row>
    <row r="22" spans="1:27" ht="12.6" thickBot="1" x14ac:dyDescent="0.3">
      <c r="A22" s="733">
        <v>1.5</v>
      </c>
      <c r="B22" s="734" t="s">
        <v>676</v>
      </c>
      <c r="C22" s="735"/>
      <c r="D22" s="736"/>
      <c r="E22" s="736"/>
      <c r="F22" s="736"/>
      <c r="G22" s="736"/>
      <c r="H22" s="736"/>
      <c r="I22" s="736"/>
      <c r="J22" s="736"/>
      <c r="K22" s="736"/>
      <c r="L22" s="736"/>
      <c r="M22" s="736"/>
      <c r="N22" s="736"/>
      <c r="O22" s="736"/>
      <c r="P22" s="736"/>
      <c r="Q22" s="736"/>
      <c r="R22" s="736"/>
      <c r="S22" s="736"/>
      <c r="T22" s="737"/>
      <c r="U22" s="737"/>
      <c r="V22" s="737"/>
      <c r="W22" s="737"/>
      <c r="X22" s="737"/>
      <c r="Y22" s="737"/>
      <c r="Z22" s="737"/>
      <c r="AA22" s="738"/>
    </row>
    <row r="25" spans="1:27" s="647" customFormat="1" x14ac:dyDescent="0.25">
      <c r="F25" s="648">
        <f>H8-'24. Risk Sector'!E33</f>
        <v>0</v>
      </c>
      <c r="J25" s="648">
        <f>L8-'24. Risk Sector'!F33</f>
        <v>0</v>
      </c>
    </row>
  </sheetData>
  <mergeCells count="7">
    <mergeCell ref="A5:B7"/>
    <mergeCell ref="C5:AA5"/>
    <mergeCell ref="C6:C7"/>
    <mergeCell ref="D6:G6"/>
    <mergeCell ref="H6:K6"/>
    <mergeCell ref="M6:S6"/>
    <mergeCell ref="U6:AA6"/>
  </mergeCells>
  <conditionalFormatting sqref="A5">
    <cfRule type="duplicateValues" dxfId="16" priority="1"/>
    <cfRule type="duplicateValues" dxfId="15" priority="2"/>
    <cfRule type="duplicateValues" dxfId="14"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4450F-81BA-4177-A84A-698E4A4AA652}">
  <dimension ref="A1:L33"/>
  <sheetViews>
    <sheetView showGridLines="0" topLeftCell="C5" zoomScaleNormal="100" workbookViewId="0">
      <selection activeCell="C7" sqref="C7:L33"/>
    </sheetView>
  </sheetViews>
  <sheetFormatPr defaultColWidth="9.109375" defaultRowHeight="12" x14ac:dyDescent="0.25"/>
  <cols>
    <col min="1" max="1" width="11.88671875" style="617" bestFit="1" customWidth="1"/>
    <col min="2" max="2" width="93.44140625" style="617" customWidth="1"/>
    <col min="3" max="3" width="14.5546875" style="617" customWidth="1"/>
    <col min="4" max="5" width="16.109375" style="617" customWidth="1"/>
    <col min="6" max="6" width="16.109375" style="667" customWidth="1"/>
    <col min="7" max="7" width="25.33203125" style="667" customWidth="1"/>
    <col min="8" max="8" width="16.109375" style="617" customWidth="1"/>
    <col min="9" max="11" width="16.109375" style="667" customWidth="1"/>
    <col min="12" max="12" width="26.33203125" style="667" customWidth="1"/>
    <col min="13" max="16384" width="9.109375" style="617"/>
  </cols>
  <sheetData>
    <row r="1" spans="1:12" ht="13.8" x14ac:dyDescent="0.3">
      <c r="A1" s="585" t="s">
        <v>0</v>
      </c>
      <c r="B1" s="2" t="s">
        <v>199</v>
      </c>
      <c r="F1" s="617"/>
      <c r="G1" s="617"/>
      <c r="I1" s="617"/>
      <c r="J1" s="617"/>
      <c r="K1" s="617"/>
      <c r="L1" s="617"/>
    </row>
    <row r="2" spans="1:12" x14ac:dyDescent="0.25">
      <c r="A2" s="585" t="s">
        <v>1</v>
      </c>
      <c r="B2" s="587">
        <f>'1. key ratios'!B2</f>
        <v>45016</v>
      </c>
      <c r="F2" s="617"/>
      <c r="G2" s="617"/>
      <c r="I2" s="617"/>
      <c r="J2" s="617"/>
      <c r="K2" s="617"/>
      <c r="L2" s="617"/>
    </row>
    <row r="3" spans="1:12" x14ac:dyDescent="0.25">
      <c r="A3" s="588" t="s">
        <v>677</v>
      </c>
      <c r="F3" s="617"/>
      <c r="G3" s="617"/>
      <c r="I3" s="617"/>
      <c r="J3" s="617"/>
      <c r="K3" s="617"/>
      <c r="L3" s="617"/>
    </row>
    <row r="4" spans="1:12" x14ac:dyDescent="0.25">
      <c r="F4" s="617"/>
      <c r="G4" s="617"/>
      <c r="I4" s="617"/>
      <c r="J4" s="617"/>
      <c r="K4" s="617"/>
      <c r="L4" s="617"/>
    </row>
    <row r="5" spans="1:12" ht="37.5" customHeight="1" x14ac:dyDescent="0.25">
      <c r="A5" s="589" t="s">
        <v>678</v>
      </c>
      <c r="B5" s="590"/>
      <c r="C5" s="739" t="s">
        <v>556</v>
      </c>
      <c r="D5" s="740"/>
      <c r="E5" s="740"/>
      <c r="F5" s="740"/>
      <c r="G5" s="740"/>
      <c r="H5" s="739" t="s">
        <v>679</v>
      </c>
      <c r="I5" s="741"/>
      <c r="J5" s="741"/>
      <c r="K5" s="741"/>
      <c r="L5" s="742"/>
    </row>
    <row r="6" spans="1:12" ht="39.6" customHeight="1" x14ac:dyDescent="0.25">
      <c r="A6" s="599"/>
      <c r="B6" s="600"/>
      <c r="C6" s="743"/>
      <c r="D6" s="623" t="s">
        <v>628</v>
      </c>
      <c r="E6" s="623" t="s">
        <v>629</v>
      </c>
      <c r="F6" s="623" t="s">
        <v>630</v>
      </c>
      <c r="G6" s="623" t="s">
        <v>631</v>
      </c>
      <c r="H6" s="690"/>
      <c r="I6" s="623" t="s">
        <v>628</v>
      </c>
      <c r="J6" s="623" t="s">
        <v>629</v>
      </c>
      <c r="K6" s="623" t="s">
        <v>630</v>
      </c>
      <c r="L6" s="623" t="s">
        <v>631</v>
      </c>
    </row>
    <row r="7" spans="1:12" x14ac:dyDescent="0.25">
      <c r="A7" s="627">
        <v>1</v>
      </c>
      <c r="B7" s="644" t="s">
        <v>569</v>
      </c>
      <c r="C7" s="744">
        <v>519916.79000000027</v>
      </c>
      <c r="D7" s="626">
        <v>518219.66000000027</v>
      </c>
      <c r="E7" s="626">
        <v>487.59</v>
      </c>
      <c r="F7" s="626">
        <v>1209.54</v>
      </c>
      <c r="G7" s="626">
        <v>0</v>
      </c>
      <c r="H7" s="626">
        <v>13269.441150780875</v>
      </c>
      <c r="I7" s="626">
        <v>12097.017211886161</v>
      </c>
      <c r="J7" s="626">
        <v>144.00470052636425</v>
      </c>
      <c r="K7" s="626">
        <v>1028.4192383683514</v>
      </c>
      <c r="L7" s="626">
        <v>0</v>
      </c>
    </row>
    <row r="8" spans="1:12" x14ac:dyDescent="0.25">
      <c r="A8" s="627">
        <v>2</v>
      </c>
      <c r="B8" s="644" t="s">
        <v>570</v>
      </c>
      <c r="C8" s="744">
        <v>761007.54000000015</v>
      </c>
      <c r="D8" s="626">
        <v>749748.33000000007</v>
      </c>
      <c r="E8" s="626">
        <v>7999.26</v>
      </c>
      <c r="F8" s="626">
        <v>3259.9500000000003</v>
      </c>
      <c r="G8" s="626">
        <v>0</v>
      </c>
      <c r="H8" s="626">
        <v>29261.965969201086</v>
      </c>
      <c r="I8" s="626">
        <v>26268.682299366686</v>
      </c>
      <c r="J8" s="626">
        <v>1145.9324007492587</v>
      </c>
      <c r="K8" s="626">
        <v>1847.3512690851392</v>
      </c>
      <c r="L8" s="626">
        <v>0</v>
      </c>
    </row>
    <row r="9" spans="1:12" x14ac:dyDescent="0.25">
      <c r="A9" s="627">
        <v>3</v>
      </c>
      <c r="B9" s="644" t="s">
        <v>571</v>
      </c>
      <c r="C9" s="744">
        <v>0</v>
      </c>
      <c r="D9" s="626">
        <v>0</v>
      </c>
      <c r="E9" s="626">
        <v>0</v>
      </c>
      <c r="F9" s="626">
        <v>0</v>
      </c>
      <c r="G9" s="626">
        <v>0</v>
      </c>
      <c r="H9" s="626">
        <v>0</v>
      </c>
      <c r="I9" s="626">
        <v>0</v>
      </c>
      <c r="J9" s="626">
        <v>0</v>
      </c>
      <c r="K9" s="626">
        <v>0</v>
      </c>
      <c r="L9" s="626">
        <v>0</v>
      </c>
    </row>
    <row r="10" spans="1:12" x14ac:dyDescent="0.25">
      <c r="A10" s="627">
        <v>4</v>
      </c>
      <c r="B10" s="644" t="s">
        <v>572</v>
      </c>
      <c r="C10" s="744">
        <v>4142323.5500000003</v>
      </c>
      <c r="D10" s="626">
        <v>4142323.5500000003</v>
      </c>
      <c r="E10" s="626">
        <v>0</v>
      </c>
      <c r="F10" s="626">
        <v>0</v>
      </c>
      <c r="G10" s="626">
        <v>0</v>
      </c>
      <c r="H10" s="626">
        <v>60884.483500498587</v>
      </c>
      <c r="I10" s="626">
        <v>60884.483500498587</v>
      </c>
      <c r="J10" s="626">
        <v>0</v>
      </c>
      <c r="K10" s="626">
        <v>0</v>
      </c>
      <c r="L10" s="626">
        <v>0</v>
      </c>
    </row>
    <row r="11" spans="1:12" x14ac:dyDescent="0.25">
      <c r="A11" s="627">
        <v>5</v>
      </c>
      <c r="B11" s="644" t="s">
        <v>573</v>
      </c>
      <c r="C11" s="744">
        <v>4574932.74</v>
      </c>
      <c r="D11" s="626">
        <v>4574932.74</v>
      </c>
      <c r="E11" s="626">
        <v>0</v>
      </c>
      <c r="F11" s="626">
        <v>0</v>
      </c>
      <c r="G11" s="626">
        <v>0</v>
      </c>
      <c r="H11" s="626">
        <v>70435.664135342799</v>
      </c>
      <c r="I11" s="626">
        <v>70435.664135342799</v>
      </c>
      <c r="J11" s="626">
        <v>0</v>
      </c>
      <c r="K11" s="626">
        <v>0</v>
      </c>
      <c r="L11" s="626">
        <v>0</v>
      </c>
    </row>
    <row r="12" spans="1:12" x14ac:dyDescent="0.25">
      <c r="A12" s="627">
        <v>6</v>
      </c>
      <c r="B12" s="644" t="s">
        <v>574</v>
      </c>
      <c r="C12" s="744">
        <v>480388.97</v>
      </c>
      <c r="D12" s="626">
        <v>436922.05</v>
      </c>
      <c r="E12" s="626">
        <v>43466.92</v>
      </c>
      <c r="F12" s="626">
        <v>0</v>
      </c>
      <c r="G12" s="626">
        <v>0</v>
      </c>
      <c r="H12" s="626">
        <v>18133.392664157389</v>
      </c>
      <c r="I12" s="626">
        <v>12882.14164832741</v>
      </c>
      <c r="J12" s="626">
        <v>5251.251015829982</v>
      </c>
      <c r="K12" s="626">
        <v>0</v>
      </c>
      <c r="L12" s="626">
        <v>0</v>
      </c>
    </row>
    <row r="13" spans="1:12" x14ac:dyDescent="0.25">
      <c r="A13" s="627">
        <v>7</v>
      </c>
      <c r="B13" s="644" t="s">
        <v>575</v>
      </c>
      <c r="C13" s="744">
        <v>215430.25999999998</v>
      </c>
      <c r="D13" s="626">
        <v>215154.15</v>
      </c>
      <c r="E13" s="626">
        <v>276.11</v>
      </c>
      <c r="F13" s="626">
        <v>0</v>
      </c>
      <c r="G13" s="626">
        <v>0</v>
      </c>
      <c r="H13" s="626">
        <v>7461.3582231331811</v>
      </c>
      <c r="I13" s="626">
        <v>7286.5873857943598</v>
      </c>
      <c r="J13" s="626">
        <v>174.77083733882094</v>
      </c>
      <c r="K13" s="626">
        <v>0</v>
      </c>
      <c r="L13" s="626">
        <v>0</v>
      </c>
    </row>
    <row r="14" spans="1:12" x14ac:dyDescent="0.25">
      <c r="A14" s="627">
        <v>8</v>
      </c>
      <c r="B14" s="644" t="s">
        <v>576</v>
      </c>
      <c r="C14" s="744">
        <v>6070.6</v>
      </c>
      <c r="D14" s="626">
        <v>5254.31</v>
      </c>
      <c r="E14" s="626">
        <v>0</v>
      </c>
      <c r="F14" s="626">
        <v>816.29</v>
      </c>
      <c r="G14" s="626">
        <v>0</v>
      </c>
      <c r="H14" s="626">
        <v>939.7660602252397</v>
      </c>
      <c r="I14" s="626">
        <v>246.63825900420238</v>
      </c>
      <c r="J14" s="626">
        <v>0</v>
      </c>
      <c r="K14" s="626">
        <v>693.1278012210372</v>
      </c>
      <c r="L14" s="626">
        <v>0</v>
      </c>
    </row>
    <row r="15" spans="1:12" x14ac:dyDescent="0.25">
      <c r="A15" s="627">
        <v>9</v>
      </c>
      <c r="B15" s="644" t="s">
        <v>577</v>
      </c>
      <c r="C15" s="744">
        <v>1377.04</v>
      </c>
      <c r="D15" s="626">
        <v>1314.3999999999999</v>
      </c>
      <c r="E15" s="626">
        <v>0</v>
      </c>
      <c r="F15" s="626">
        <v>62.64</v>
      </c>
      <c r="G15" s="626">
        <v>0</v>
      </c>
      <c r="H15" s="626">
        <v>93.372995085279513</v>
      </c>
      <c r="I15" s="626">
        <v>43.386861932687751</v>
      </c>
      <c r="J15" s="626">
        <v>0</v>
      </c>
      <c r="K15" s="626">
        <v>49.986133152591762</v>
      </c>
      <c r="L15" s="626">
        <v>0</v>
      </c>
    </row>
    <row r="16" spans="1:12" x14ac:dyDescent="0.25">
      <c r="A16" s="627">
        <v>10</v>
      </c>
      <c r="B16" s="644" t="s">
        <v>578</v>
      </c>
      <c r="C16" s="744">
        <v>517.35</v>
      </c>
      <c r="D16" s="626">
        <v>517.35</v>
      </c>
      <c r="E16" s="626">
        <v>0</v>
      </c>
      <c r="F16" s="626">
        <v>0</v>
      </c>
      <c r="G16" s="626">
        <v>0</v>
      </c>
      <c r="H16" s="626">
        <v>20.919287871900195</v>
      </c>
      <c r="I16" s="626">
        <v>20.919287871900195</v>
      </c>
      <c r="J16" s="626">
        <v>0</v>
      </c>
      <c r="K16" s="626">
        <v>0</v>
      </c>
      <c r="L16" s="626">
        <v>0</v>
      </c>
    </row>
    <row r="17" spans="1:12" x14ac:dyDescent="0.25">
      <c r="A17" s="627">
        <v>11</v>
      </c>
      <c r="B17" s="644" t="s">
        <v>579</v>
      </c>
      <c r="C17" s="744">
        <v>553.05000000000007</v>
      </c>
      <c r="D17" s="626">
        <v>414.45000000000005</v>
      </c>
      <c r="E17" s="626">
        <v>0</v>
      </c>
      <c r="F17" s="626">
        <v>138.6</v>
      </c>
      <c r="G17" s="626">
        <v>0</v>
      </c>
      <c r="H17" s="626">
        <v>138.74449980652764</v>
      </c>
      <c r="I17" s="626">
        <v>28.14299829073552</v>
      </c>
      <c r="J17" s="626">
        <v>0</v>
      </c>
      <c r="K17" s="626">
        <v>110.60150151579211</v>
      </c>
      <c r="L17" s="626">
        <v>0</v>
      </c>
    </row>
    <row r="18" spans="1:12" x14ac:dyDescent="0.25">
      <c r="A18" s="627">
        <v>12</v>
      </c>
      <c r="B18" s="644" t="s">
        <v>580</v>
      </c>
      <c r="C18" s="744">
        <v>183891.91</v>
      </c>
      <c r="D18" s="626">
        <v>60422.360000000022</v>
      </c>
      <c r="E18" s="626">
        <v>122582.65000000001</v>
      </c>
      <c r="F18" s="626">
        <v>886.9</v>
      </c>
      <c r="G18" s="626">
        <v>0</v>
      </c>
      <c r="H18" s="626">
        <v>49273.102224246722</v>
      </c>
      <c r="I18" s="626">
        <v>1480.4554876943344</v>
      </c>
      <c r="J18" s="626">
        <v>47032.13393969187</v>
      </c>
      <c r="K18" s="626">
        <v>760.51279686052533</v>
      </c>
      <c r="L18" s="626">
        <v>0</v>
      </c>
    </row>
    <row r="19" spans="1:12" x14ac:dyDescent="0.25">
      <c r="A19" s="627">
        <v>13</v>
      </c>
      <c r="B19" s="644" t="s">
        <v>581</v>
      </c>
      <c r="C19" s="744">
        <v>6909.4800000000014</v>
      </c>
      <c r="D19" s="626">
        <v>5787.4900000000016</v>
      </c>
      <c r="E19" s="626">
        <v>536.38</v>
      </c>
      <c r="F19" s="626">
        <v>585.61</v>
      </c>
      <c r="G19" s="626">
        <v>0</v>
      </c>
      <c r="H19" s="626">
        <v>1112.015723408233</v>
      </c>
      <c r="I19" s="626">
        <v>325.71195685872277</v>
      </c>
      <c r="J19" s="626">
        <v>290.30080136659871</v>
      </c>
      <c r="K19" s="626">
        <v>496.00296518291151</v>
      </c>
      <c r="L19" s="626">
        <v>0</v>
      </c>
    </row>
    <row r="20" spans="1:12" x14ac:dyDescent="0.25">
      <c r="A20" s="627">
        <v>14</v>
      </c>
      <c r="B20" s="644" t="s">
        <v>582</v>
      </c>
      <c r="C20" s="744">
        <v>983983.74</v>
      </c>
      <c r="D20" s="626">
        <v>983893.74</v>
      </c>
      <c r="E20" s="626">
        <v>0</v>
      </c>
      <c r="F20" s="626">
        <v>90</v>
      </c>
      <c r="G20" s="626">
        <v>0</v>
      </c>
      <c r="H20" s="626">
        <v>23929.018656429642</v>
      </c>
      <c r="I20" s="626">
        <v>23857.199499601207</v>
      </c>
      <c r="J20" s="626">
        <v>0</v>
      </c>
      <c r="K20" s="626">
        <v>71.819156828436434</v>
      </c>
      <c r="L20" s="626">
        <v>0</v>
      </c>
    </row>
    <row r="21" spans="1:12" x14ac:dyDescent="0.25">
      <c r="A21" s="627">
        <v>15</v>
      </c>
      <c r="B21" s="644" t="s">
        <v>583</v>
      </c>
      <c r="C21" s="744">
        <v>53916.030000000006</v>
      </c>
      <c r="D21" s="626">
        <v>53916.030000000006</v>
      </c>
      <c r="E21" s="626">
        <v>0</v>
      </c>
      <c r="F21" s="626">
        <v>0</v>
      </c>
      <c r="G21" s="626">
        <v>0</v>
      </c>
      <c r="H21" s="626">
        <v>1153.6079751942759</v>
      </c>
      <c r="I21" s="626">
        <v>1153.6079751942759</v>
      </c>
      <c r="J21" s="626">
        <v>0</v>
      </c>
      <c r="K21" s="626">
        <v>0</v>
      </c>
      <c r="L21" s="626">
        <v>0</v>
      </c>
    </row>
    <row r="22" spans="1:12" x14ac:dyDescent="0.25">
      <c r="A22" s="627">
        <v>16</v>
      </c>
      <c r="B22" s="644" t="s">
        <v>584</v>
      </c>
      <c r="C22" s="744">
        <v>0</v>
      </c>
      <c r="D22" s="626">
        <v>0</v>
      </c>
      <c r="E22" s="626">
        <v>0</v>
      </c>
      <c r="F22" s="626">
        <v>0</v>
      </c>
      <c r="G22" s="626">
        <v>0</v>
      </c>
      <c r="H22" s="626">
        <v>0</v>
      </c>
      <c r="I22" s="626">
        <v>0</v>
      </c>
      <c r="J22" s="626">
        <v>0</v>
      </c>
      <c r="K22" s="626">
        <v>0</v>
      </c>
      <c r="L22" s="626">
        <v>0</v>
      </c>
    </row>
    <row r="23" spans="1:12" x14ac:dyDescent="0.25">
      <c r="A23" s="627">
        <v>17</v>
      </c>
      <c r="B23" s="644" t="s">
        <v>585</v>
      </c>
      <c r="C23" s="744">
        <v>7831.63</v>
      </c>
      <c r="D23" s="626">
        <v>0</v>
      </c>
      <c r="E23" s="626">
        <v>0</v>
      </c>
      <c r="F23" s="626">
        <v>7831.63</v>
      </c>
      <c r="G23" s="626">
        <v>0</v>
      </c>
      <c r="H23" s="626">
        <v>4293.3246483762941</v>
      </c>
      <c r="I23" s="626">
        <v>0</v>
      </c>
      <c r="J23" s="626">
        <v>0</v>
      </c>
      <c r="K23" s="626">
        <v>4293.3246483762941</v>
      </c>
      <c r="L23" s="626">
        <v>0</v>
      </c>
    </row>
    <row r="24" spans="1:12" x14ac:dyDescent="0.25">
      <c r="A24" s="627">
        <v>18</v>
      </c>
      <c r="B24" s="644" t="s">
        <v>587</v>
      </c>
      <c r="C24" s="744">
        <v>18241.8</v>
      </c>
      <c r="D24" s="626">
        <v>18241.8</v>
      </c>
      <c r="E24" s="626">
        <v>0</v>
      </c>
      <c r="F24" s="626">
        <v>0</v>
      </c>
      <c r="G24" s="626">
        <v>0</v>
      </c>
      <c r="H24" s="626">
        <v>298.4897595758585</v>
      </c>
      <c r="I24" s="626">
        <v>298.4897595758585</v>
      </c>
      <c r="J24" s="626">
        <v>0</v>
      </c>
      <c r="K24" s="626">
        <v>0</v>
      </c>
      <c r="L24" s="626">
        <v>0</v>
      </c>
    </row>
    <row r="25" spans="1:12" x14ac:dyDescent="0.25">
      <c r="A25" s="627">
        <v>19</v>
      </c>
      <c r="B25" s="644" t="s">
        <v>588</v>
      </c>
      <c r="C25" s="744">
        <v>1609.82</v>
      </c>
      <c r="D25" s="626">
        <v>1609.82</v>
      </c>
      <c r="E25" s="626">
        <v>0</v>
      </c>
      <c r="F25" s="626">
        <v>0</v>
      </c>
      <c r="G25" s="626">
        <v>0</v>
      </c>
      <c r="H25" s="626">
        <v>108.40432997477839</v>
      </c>
      <c r="I25" s="626">
        <v>108.40432997477839</v>
      </c>
      <c r="J25" s="626">
        <v>0</v>
      </c>
      <c r="K25" s="626">
        <v>0</v>
      </c>
      <c r="L25" s="626">
        <v>0</v>
      </c>
    </row>
    <row r="26" spans="1:12" x14ac:dyDescent="0.25">
      <c r="A26" s="627">
        <v>20</v>
      </c>
      <c r="B26" s="644" t="s">
        <v>589</v>
      </c>
      <c r="C26" s="744">
        <v>66051.02</v>
      </c>
      <c r="D26" s="626">
        <v>65636.820000000007</v>
      </c>
      <c r="E26" s="626">
        <v>384.79</v>
      </c>
      <c r="F26" s="626">
        <v>29.41</v>
      </c>
      <c r="G26" s="626">
        <v>0</v>
      </c>
      <c r="H26" s="626">
        <v>1473.0735438835038</v>
      </c>
      <c r="I26" s="626">
        <v>1257.2297556662666</v>
      </c>
      <c r="J26" s="626">
        <v>192.37488374696707</v>
      </c>
      <c r="K26" s="626">
        <v>23.468904470270171</v>
      </c>
      <c r="L26" s="626">
        <v>0</v>
      </c>
    </row>
    <row r="27" spans="1:12" x14ac:dyDescent="0.25">
      <c r="A27" s="627">
        <v>21</v>
      </c>
      <c r="B27" s="644" t="s">
        <v>590</v>
      </c>
      <c r="C27" s="744">
        <v>1136.56</v>
      </c>
      <c r="D27" s="626">
        <v>713.14</v>
      </c>
      <c r="E27" s="626">
        <v>0</v>
      </c>
      <c r="F27" s="626">
        <v>423.42</v>
      </c>
      <c r="G27" s="626">
        <v>0</v>
      </c>
      <c r="H27" s="626">
        <v>422.25045780176765</v>
      </c>
      <c r="I27" s="626">
        <v>78.028243474633953</v>
      </c>
      <c r="J27" s="626">
        <v>0</v>
      </c>
      <c r="K27" s="626">
        <v>344.22221432713366</v>
      </c>
      <c r="L27" s="626">
        <v>0</v>
      </c>
    </row>
    <row r="28" spans="1:12" x14ac:dyDescent="0.25">
      <c r="A28" s="627">
        <v>22</v>
      </c>
      <c r="B28" s="644" t="s">
        <v>591</v>
      </c>
      <c r="C28" s="744">
        <v>2723079.4699999974</v>
      </c>
      <c r="D28" s="626">
        <v>2624530.0199999986</v>
      </c>
      <c r="E28" s="626">
        <v>45274.94</v>
      </c>
      <c r="F28" s="626">
        <v>53274.51</v>
      </c>
      <c r="G28" s="626">
        <v>0</v>
      </c>
      <c r="H28" s="626">
        <v>97425.392897008904</v>
      </c>
      <c r="I28" s="626">
        <v>62750.457464380444</v>
      </c>
      <c r="J28" s="626">
        <v>5469.6784282539802</v>
      </c>
      <c r="K28" s="626">
        <v>29205.257004374489</v>
      </c>
      <c r="L28" s="626">
        <v>0</v>
      </c>
    </row>
    <row r="29" spans="1:12" x14ac:dyDescent="0.25">
      <c r="A29" s="627">
        <v>23</v>
      </c>
      <c r="B29" s="644" t="s">
        <v>592</v>
      </c>
      <c r="C29" s="744">
        <v>1288620.9700000007</v>
      </c>
      <c r="D29" s="626">
        <v>1156267.5800000003</v>
      </c>
      <c r="E29" s="626">
        <v>84346.62000000001</v>
      </c>
      <c r="F29" s="626">
        <v>48006.77</v>
      </c>
      <c r="G29" s="626">
        <v>0</v>
      </c>
      <c r="H29" s="626">
        <v>62802.777709420967</v>
      </c>
      <c r="I29" s="626">
        <v>26080.932864423161</v>
      </c>
      <c r="J29" s="626">
        <v>10359.672825631003</v>
      </c>
      <c r="K29" s="626">
        <v>26362.172019366808</v>
      </c>
      <c r="L29" s="626">
        <v>0</v>
      </c>
    </row>
    <row r="30" spans="1:12" x14ac:dyDescent="0.25">
      <c r="A30" s="627">
        <v>24</v>
      </c>
      <c r="B30" s="644" t="s">
        <v>593</v>
      </c>
      <c r="C30" s="744">
        <v>1060355.29</v>
      </c>
      <c r="D30" s="626">
        <v>1822.63</v>
      </c>
      <c r="E30" s="626">
        <v>0</v>
      </c>
      <c r="F30" s="626">
        <v>1058532.6599999999</v>
      </c>
      <c r="G30" s="626">
        <v>0</v>
      </c>
      <c r="H30" s="626">
        <v>365171.55387311085</v>
      </c>
      <c r="I30" s="626">
        <v>105.82397059118401</v>
      </c>
      <c r="J30" s="626">
        <v>0</v>
      </c>
      <c r="K30" s="626">
        <v>365065.72990251967</v>
      </c>
      <c r="L30" s="626">
        <v>0</v>
      </c>
    </row>
    <row r="31" spans="1:12" x14ac:dyDescent="0.25">
      <c r="A31" s="627">
        <v>25</v>
      </c>
      <c r="B31" s="644" t="s">
        <v>202</v>
      </c>
      <c r="C31" s="744">
        <v>1343739.154709155</v>
      </c>
      <c r="D31" s="626">
        <v>1246252.1347091547</v>
      </c>
      <c r="E31" s="627">
        <v>16296.989999999998</v>
      </c>
      <c r="F31" s="627">
        <v>81190.030000000028</v>
      </c>
      <c r="G31" s="626">
        <v>0</v>
      </c>
      <c r="H31" s="627">
        <v>90028.724984101791</v>
      </c>
      <c r="I31" s="626">
        <v>52697.299372697511</v>
      </c>
      <c r="J31" s="626">
        <v>2021.0946410558963</v>
      </c>
      <c r="K31" s="626">
        <v>35310.330970348361</v>
      </c>
      <c r="L31" s="626">
        <v>0</v>
      </c>
    </row>
    <row r="32" spans="1:12" x14ac:dyDescent="0.25">
      <c r="A32" s="627">
        <v>26</v>
      </c>
      <c r="B32" s="644" t="s">
        <v>680</v>
      </c>
      <c r="C32" s="744">
        <v>0</v>
      </c>
      <c r="D32" s="626">
        <v>0</v>
      </c>
      <c r="E32" s="626">
        <v>0</v>
      </c>
      <c r="F32" s="626">
        <v>0</v>
      </c>
      <c r="G32" s="626">
        <v>0</v>
      </c>
      <c r="H32" s="744">
        <v>0</v>
      </c>
      <c r="I32" s="744">
        <v>0</v>
      </c>
      <c r="J32" s="744">
        <v>0</v>
      </c>
      <c r="K32" s="744">
        <v>0</v>
      </c>
      <c r="L32" s="626">
        <v>0</v>
      </c>
    </row>
    <row r="33" spans="1:12" x14ac:dyDescent="0.25">
      <c r="A33" s="627">
        <v>27</v>
      </c>
      <c r="B33" s="745" t="s">
        <v>54</v>
      </c>
      <c r="C33" s="746">
        <f>SUM(C7:C32)</f>
        <v>18441884.764709156</v>
      </c>
      <c r="D33" s="746">
        <f t="shared" ref="D33:L33" si="0">SUM(D7:D32)</f>
        <v>16863894.554709155</v>
      </c>
      <c r="E33" s="746">
        <f t="shared" si="0"/>
        <v>321652.25</v>
      </c>
      <c r="F33" s="746">
        <f t="shared" si="0"/>
        <v>1256337.96</v>
      </c>
      <c r="G33" s="746">
        <f t="shared" si="0"/>
        <v>0</v>
      </c>
      <c r="H33" s="746">
        <f t="shared" si="0"/>
        <v>898130.84526863648</v>
      </c>
      <c r="I33" s="746">
        <f t="shared" si="0"/>
        <v>360387.30426844792</v>
      </c>
      <c r="J33" s="746">
        <f t="shared" si="0"/>
        <v>72081.21447419074</v>
      </c>
      <c r="K33" s="746">
        <f t="shared" si="0"/>
        <v>465662.32652599784</v>
      </c>
      <c r="L33" s="746">
        <f t="shared" si="0"/>
        <v>0</v>
      </c>
    </row>
  </sheetData>
  <mergeCells count="3">
    <mergeCell ref="A5:B6"/>
    <mergeCell ref="C5:G5"/>
    <mergeCell ref="H5:L5"/>
  </mergeCells>
  <conditionalFormatting sqref="A5">
    <cfRule type="duplicateValues" dxfId="13" priority="1"/>
    <cfRule type="duplicateValues" dxfId="12" priority="2"/>
    <cfRule type="duplicateValues" dxfId="11"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80BA-5F70-4A97-BCA1-ED91B799B734}">
  <dimension ref="A1:L14"/>
  <sheetViews>
    <sheetView showGridLines="0" topLeftCell="H1" zoomScaleNormal="100" workbookViewId="0">
      <selection activeCell="K6" sqref="C6:K11"/>
    </sheetView>
  </sheetViews>
  <sheetFormatPr defaultColWidth="8.6640625" defaultRowHeight="12" x14ac:dyDescent="0.25"/>
  <cols>
    <col min="1" max="1" width="11.88671875" style="749" bestFit="1" customWidth="1"/>
    <col min="2" max="2" width="165.109375" style="749" customWidth="1"/>
    <col min="3" max="11" width="28.33203125" style="749" customWidth="1"/>
    <col min="12" max="12" width="12.44140625" style="749" bestFit="1" customWidth="1"/>
    <col min="13" max="16384" width="8.6640625" style="749"/>
  </cols>
  <sheetData>
    <row r="1" spans="1:12" s="586" customFormat="1" ht="13.8" x14ac:dyDescent="0.3">
      <c r="A1" s="585" t="s">
        <v>0</v>
      </c>
      <c r="B1" s="2" t="s">
        <v>199</v>
      </c>
      <c r="C1" s="617"/>
      <c r="D1" s="617"/>
      <c r="E1" s="617"/>
      <c r="F1" s="617"/>
      <c r="G1" s="617"/>
      <c r="H1" s="617"/>
      <c r="I1" s="617"/>
      <c r="J1" s="617"/>
      <c r="K1" s="617"/>
    </row>
    <row r="2" spans="1:12" s="586" customFormat="1" x14ac:dyDescent="0.25">
      <c r="A2" s="585" t="s">
        <v>1</v>
      </c>
      <c r="B2" s="587">
        <f>'1. key ratios'!B2</f>
        <v>45016</v>
      </c>
      <c r="C2" s="617"/>
      <c r="D2" s="617"/>
      <c r="E2" s="617"/>
      <c r="F2" s="617"/>
      <c r="G2" s="617"/>
      <c r="H2" s="617"/>
      <c r="I2" s="617"/>
      <c r="J2" s="617"/>
      <c r="K2" s="617"/>
    </row>
    <row r="3" spans="1:12" s="586" customFormat="1" x14ac:dyDescent="0.25">
      <c r="A3" s="588" t="s">
        <v>681</v>
      </c>
      <c r="B3" s="617"/>
      <c r="C3" s="617"/>
      <c r="D3" s="617"/>
      <c r="E3" s="617"/>
      <c r="F3" s="617"/>
      <c r="G3" s="617"/>
      <c r="H3" s="617"/>
      <c r="I3" s="617"/>
      <c r="J3" s="617"/>
      <c r="K3" s="617"/>
    </row>
    <row r="4" spans="1:12" x14ac:dyDescent="0.25">
      <c r="A4" s="747"/>
      <c r="B4" s="747"/>
      <c r="C4" s="748" t="s">
        <v>549</v>
      </c>
      <c r="D4" s="748" t="s">
        <v>550</v>
      </c>
      <c r="E4" s="748" t="s">
        <v>551</v>
      </c>
      <c r="F4" s="748" t="s">
        <v>552</v>
      </c>
      <c r="G4" s="748" t="s">
        <v>553</v>
      </c>
      <c r="H4" s="748" t="s">
        <v>554</v>
      </c>
      <c r="I4" s="748" t="s">
        <v>682</v>
      </c>
      <c r="J4" s="748" t="s">
        <v>683</v>
      </c>
      <c r="K4" s="748" t="s">
        <v>684</v>
      </c>
    </row>
    <row r="5" spans="1:12" ht="104.1" customHeight="1" x14ac:dyDescent="0.25">
      <c r="A5" s="750" t="s">
        <v>685</v>
      </c>
      <c r="B5" s="751"/>
      <c r="C5" s="752" t="s">
        <v>686</v>
      </c>
      <c r="D5" s="752" t="s">
        <v>687</v>
      </c>
      <c r="E5" s="752" t="s">
        <v>688</v>
      </c>
      <c r="F5" s="752" t="s">
        <v>689</v>
      </c>
      <c r="G5" s="752" t="s">
        <v>690</v>
      </c>
      <c r="H5" s="752" t="s">
        <v>691</v>
      </c>
      <c r="I5" s="752" t="s">
        <v>692</v>
      </c>
      <c r="J5" s="752" t="s">
        <v>693</v>
      </c>
      <c r="K5" s="752" t="s">
        <v>694</v>
      </c>
    </row>
    <row r="6" spans="1:12" x14ac:dyDescent="0.25">
      <c r="A6" s="627">
        <v>1</v>
      </c>
      <c r="B6" s="627" t="s">
        <v>695</v>
      </c>
      <c r="C6" s="626">
        <v>0</v>
      </c>
      <c r="D6" s="626"/>
      <c r="E6" s="626"/>
      <c r="F6" s="626"/>
      <c r="G6" s="626">
        <f>'23. LTV'!C10</f>
        <v>13990831.264709149</v>
      </c>
      <c r="H6" s="626"/>
      <c r="I6" s="948">
        <v>5121.5300000000007</v>
      </c>
      <c r="J6" s="948">
        <v>51737.259999999995</v>
      </c>
      <c r="K6" s="626">
        <f>'23. LTV'!C8-'25. Collateral'!G6-'25. Collateral'!H6-'25. Collateral'!I6</f>
        <v>4445931.9700000072</v>
      </c>
      <c r="L6" s="753"/>
    </row>
    <row r="7" spans="1:12" x14ac:dyDescent="0.25">
      <c r="A7" s="627">
        <v>2</v>
      </c>
      <c r="B7" s="627" t="s">
        <v>696</v>
      </c>
      <c r="C7" s="626"/>
      <c r="D7" s="626"/>
      <c r="E7" s="626"/>
      <c r="F7" s="626"/>
      <c r="G7" s="626"/>
      <c r="H7" s="626"/>
      <c r="I7" s="626"/>
      <c r="J7" s="626"/>
      <c r="K7" s="626"/>
    </row>
    <row r="8" spans="1:12" x14ac:dyDescent="0.25">
      <c r="A8" s="627">
        <v>3</v>
      </c>
      <c r="B8" s="627" t="s">
        <v>646</v>
      </c>
      <c r="C8" s="626">
        <v>555104</v>
      </c>
      <c r="D8" s="626"/>
      <c r="E8" s="626"/>
      <c r="F8" s="626"/>
      <c r="G8" s="626">
        <v>200000</v>
      </c>
      <c r="H8" s="626"/>
      <c r="I8" s="626"/>
      <c r="J8" s="626"/>
      <c r="K8" s="626">
        <f>'4. Off-balance'!E27+'4. Off-balance'!E28-C8-G8</f>
        <v>2626963.87</v>
      </c>
    </row>
    <row r="9" spans="1:12" x14ac:dyDescent="0.25">
      <c r="A9" s="627">
        <v>4</v>
      </c>
      <c r="B9" s="653" t="s">
        <v>697</v>
      </c>
      <c r="C9" s="754"/>
      <c r="D9" s="754"/>
      <c r="E9" s="754"/>
      <c r="F9" s="754"/>
      <c r="G9" s="754"/>
      <c r="H9" s="754"/>
      <c r="I9" s="754"/>
      <c r="J9" s="754"/>
      <c r="K9" s="754"/>
    </row>
    <row r="10" spans="1:12" x14ac:dyDescent="0.25">
      <c r="A10" s="627">
        <v>5</v>
      </c>
      <c r="B10" s="653" t="s">
        <v>698</v>
      </c>
      <c r="C10" s="754"/>
      <c r="D10" s="754"/>
      <c r="E10" s="754"/>
      <c r="F10" s="754"/>
      <c r="G10" s="754"/>
      <c r="H10" s="754"/>
      <c r="I10" s="754"/>
      <c r="J10" s="754"/>
      <c r="K10" s="754"/>
    </row>
    <row r="11" spans="1:12" x14ac:dyDescent="0.25">
      <c r="A11" s="627">
        <v>6</v>
      </c>
      <c r="B11" s="653" t="s">
        <v>699</v>
      </c>
      <c r="C11" s="754"/>
      <c r="D11" s="754"/>
      <c r="E11" s="754"/>
      <c r="F11" s="754"/>
      <c r="G11" s="754"/>
      <c r="H11" s="754"/>
      <c r="I11" s="754"/>
      <c r="J11" s="754"/>
      <c r="K11" s="754"/>
    </row>
    <row r="13" spans="1:12" ht="13.8" x14ac:dyDescent="0.3">
      <c r="B13" s="755"/>
      <c r="G13" s="956"/>
    </row>
    <row r="14" spans="1:12" x14ac:dyDescent="0.25">
      <c r="G14" s="956"/>
    </row>
  </sheetData>
  <mergeCells count="1">
    <mergeCell ref="A5:B5"/>
  </mergeCells>
  <conditionalFormatting sqref="A5">
    <cfRule type="duplicateValues" dxfId="10" priority="1"/>
    <cfRule type="duplicateValues" dxfId="9" priority="2"/>
    <cfRule type="duplicateValues" dxfId="8"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8666-7397-42EC-AE52-69003ABB5683}">
  <dimension ref="A1:V23"/>
  <sheetViews>
    <sheetView showGridLines="0" zoomScaleNormal="100" workbookViewId="0">
      <selection activeCell="C7" sqref="C7:V20"/>
    </sheetView>
  </sheetViews>
  <sheetFormatPr defaultColWidth="8.6640625" defaultRowHeight="14.4" x14ac:dyDescent="0.3"/>
  <cols>
    <col min="1" max="1" width="13.6640625" style="756" customWidth="1"/>
    <col min="2" max="2" width="56.44140625" style="756" customWidth="1"/>
    <col min="3" max="3" width="13" style="756" customWidth="1"/>
    <col min="4" max="4" width="15.88671875" style="756" bestFit="1" customWidth="1"/>
    <col min="5" max="6" width="10.109375" style="756" bestFit="1" customWidth="1"/>
    <col min="7" max="7" width="9.88671875" style="756" customWidth="1"/>
    <col min="8" max="8" width="11.44140625" style="756" customWidth="1"/>
    <col min="9" max="9" width="17.44140625" style="756" customWidth="1"/>
    <col min="10" max="10" width="16.44140625" style="756" customWidth="1"/>
    <col min="11" max="11" width="25.109375" style="756" customWidth="1"/>
    <col min="12" max="12" width="22.109375" style="756" customWidth="1"/>
    <col min="13" max="13" width="12.88671875" style="756" customWidth="1"/>
    <col min="14" max="14" width="15.109375" style="756" bestFit="1" customWidth="1"/>
    <col min="15" max="15" width="14.109375" style="756" customWidth="1"/>
    <col min="16" max="16" width="14.33203125" style="756" customWidth="1"/>
    <col min="17" max="17" width="25.6640625" style="756" customWidth="1"/>
    <col min="18" max="18" width="13.5546875" style="756" customWidth="1"/>
    <col min="19" max="19" width="19.33203125" style="756" customWidth="1"/>
    <col min="20" max="20" width="23.33203125" style="756" customWidth="1"/>
    <col min="21" max="21" width="21.88671875" style="756" customWidth="1"/>
    <col min="22" max="22" width="21" style="756" customWidth="1"/>
    <col min="23" max="16384" width="8.6640625" style="756"/>
  </cols>
  <sheetData>
    <row r="1" spans="1:22" x14ac:dyDescent="0.3">
      <c r="A1" s="585" t="s">
        <v>0</v>
      </c>
      <c r="B1" s="2" t="s">
        <v>199</v>
      </c>
    </row>
    <row r="2" spans="1:22" x14ac:dyDescent="0.3">
      <c r="A2" s="585" t="s">
        <v>1</v>
      </c>
      <c r="B2" s="587">
        <f>'1. key ratios'!B2</f>
        <v>45016</v>
      </c>
    </row>
    <row r="3" spans="1:22" x14ac:dyDescent="0.3">
      <c r="A3" s="588" t="s">
        <v>700</v>
      </c>
      <c r="B3" s="617"/>
    </row>
    <row r="4" spans="1:22" x14ac:dyDescent="0.3">
      <c r="A4" s="588"/>
      <c r="B4" s="617"/>
    </row>
    <row r="5" spans="1:22" ht="24" customHeight="1" x14ac:dyDescent="0.3">
      <c r="A5" s="757" t="s">
        <v>701</v>
      </c>
      <c r="B5" s="757"/>
      <c r="C5" s="758" t="s">
        <v>702</v>
      </c>
      <c r="D5" s="758"/>
      <c r="E5" s="758"/>
      <c r="F5" s="758"/>
      <c r="G5" s="758"/>
      <c r="H5" s="758" t="s">
        <v>556</v>
      </c>
      <c r="I5" s="758"/>
      <c r="J5" s="758"/>
      <c r="K5" s="758"/>
      <c r="L5" s="758"/>
      <c r="M5" s="758" t="s">
        <v>557</v>
      </c>
      <c r="N5" s="758"/>
      <c r="O5" s="758"/>
      <c r="P5" s="758"/>
      <c r="Q5" s="758"/>
      <c r="R5" s="759" t="s">
        <v>703</v>
      </c>
      <c r="S5" s="759" t="s">
        <v>704</v>
      </c>
      <c r="T5" s="759" t="s">
        <v>705</v>
      </c>
      <c r="U5" s="759" t="s">
        <v>706</v>
      </c>
      <c r="V5" s="759" t="s">
        <v>707</v>
      </c>
    </row>
    <row r="6" spans="1:22" ht="45" customHeight="1" x14ac:dyDescent="0.3">
      <c r="A6" s="757"/>
      <c r="B6" s="757"/>
      <c r="C6" s="760"/>
      <c r="D6" s="623" t="s">
        <v>628</v>
      </c>
      <c r="E6" s="623" t="s">
        <v>629</v>
      </c>
      <c r="F6" s="623" t="s">
        <v>630</v>
      </c>
      <c r="G6" s="623" t="s">
        <v>631</v>
      </c>
      <c r="H6" s="760"/>
      <c r="I6" s="623" t="s">
        <v>628</v>
      </c>
      <c r="J6" s="623" t="s">
        <v>629</v>
      </c>
      <c r="K6" s="623" t="s">
        <v>630</v>
      </c>
      <c r="L6" s="623" t="s">
        <v>631</v>
      </c>
      <c r="M6" s="760"/>
      <c r="N6" s="623" t="s">
        <v>628</v>
      </c>
      <c r="O6" s="623" t="s">
        <v>629</v>
      </c>
      <c r="P6" s="623" t="s">
        <v>630</v>
      </c>
      <c r="Q6" s="623" t="s">
        <v>631</v>
      </c>
      <c r="R6" s="759"/>
      <c r="S6" s="759"/>
      <c r="T6" s="759"/>
      <c r="U6" s="759"/>
      <c r="V6" s="759"/>
    </row>
    <row r="7" spans="1:22" x14ac:dyDescent="0.3">
      <c r="A7" s="761">
        <v>1</v>
      </c>
      <c r="B7" s="762" t="s">
        <v>708</v>
      </c>
      <c r="C7" s="763">
        <v>0</v>
      </c>
      <c r="D7" s="754">
        <v>0</v>
      </c>
      <c r="E7" s="754">
        <v>0</v>
      </c>
      <c r="F7" s="754">
        <v>0</v>
      </c>
      <c r="G7" s="754"/>
      <c r="H7" s="754">
        <v>112.3</v>
      </c>
      <c r="I7" s="754">
        <v>112.3</v>
      </c>
      <c r="J7" s="754">
        <v>0</v>
      </c>
      <c r="K7" s="754">
        <v>0</v>
      </c>
      <c r="L7" s="754"/>
      <c r="M7" s="754">
        <v>0</v>
      </c>
      <c r="N7" s="754">
        <v>0</v>
      </c>
      <c r="O7" s="754">
        <v>0</v>
      </c>
      <c r="P7" s="754">
        <v>0</v>
      </c>
      <c r="Q7" s="754"/>
      <c r="R7" s="764">
        <v>0</v>
      </c>
      <c r="S7" s="765">
        <v>0</v>
      </c>
      <c r="T7" s="765">
        <v>0</v>
      </c>
      <c r="U7" s="765">
        <v>0</v>
      </c>
      <c r="V7" s="754">
        <v>0</v>
      </c>
    </row>
    <row r="8" spans="1:22" x14ac:dyDescent="0.3">
      <c r="A8" s="761">
        <v>2</v>
      </c>
      <c r="B8" s="766" t="s">
        <v>709</v>
      </c>
      <c r="C8" s="763">
        <v>6363048.96</v>
      </c>
      <c r="D8" s="754">
        <v>5978568.8200000003</v>
      </c>
      <c r="E8" s="754">
        <v>194437.39</v>
      </c>
      <c r="F8" s="754">
        <v>190042.75</v>
      </c>
      <c r="G8" s="754"/>
      <c r="H8" s="754">
        <v>6410734.3650000002</v>
      </c>
      <c r="I8" s="754">
        <v>6022252.2750000004</v>
      </c>
      <c r="J8" s="754">
        <v>196053.59</v>
      </c>
      <c r="K8" s="754">
        <v>192428.5</v>
      </c>
      <c r="L8" s="754"/>
      <c r="M8" s="754">
        <v>281007.518607718</v>
      </c>
      <c r="N8" s="754">
        <v>161249.42638806801</v>
      </c>
      <c r="O8" s="754">
        <v>23685.29018435</v>
      </c>
      <c r="P8" s="754">
        <v>96072.802035300003</v>
      </c>
      <c r="Q8" s="754"/>
      <c r="R8" s="764">
        <v>483</v>
      </c>
      <c r="S8" s="765">
        <v>0.15347006030679</v>
      </c>
      <c r="T8" s="765">
        <v>0.178795634895723</v>
      </c>
      <c r="U8" s="765">
        <v>0.137668855573675</v>
      </c>
      <c r="V8" s="754">
        <v>66.026579530200493</v>
      </c>
    </row>
    <row r="9" spans="1:22" x14ac:dyDescent="0.3">
      <c r="A9" s="761">
        <v>3</v>
      </c>
      <c r="B9" s="766" t="s">
        <v>710</v>
      </c>
      <c r="C9" s="763">
        <v>32257.66</v>
      </c>
      <c r="D9" s="754">
        <v>24551.43</v>
      </c>
      <c r="E9" s="754">
        <v>2390.16</v>
      </c>
      <c r="F9" s="754">
        <v>5316.07</v>
      </c>
      <c r="G9" s="754"/>
      <c r="H9" s="754">
        <v>12024.01</v>
      </c>
      <c r="I9" s="754">
        <v>4157.2</v>
      </c>
      <c r="J9" s="754">
        <v>2490.0100000000002</v>
      </c>
      <c r="K9" s="754">
        <v>5376.8</v>
      </c>
      <c r="L9" s="754"/>
      <c r="M9" s="754">
        <v>8576.7664398790002</v>
      </c>
      <c r="N9" s="754">
        <v>2911.6989348669999</v>
      </c>
      <c r="O9" s="754">
        <v>1141.2729185400001</v>
      </c>
      <c r="P9" s="754">
        <v>4523.7945864720004</v>
      </c>
      <c r="Q9" s="754"/>
      <c r="R9" s="764">
        <v>138</v>
      </c>
      <c r="S9" s="765">
        <v>0</v>
      </c>
      <c r="T9" s="765">
        <v>0</v>
      </c>
      <c r="U9" s="765">
        <v>0.35</v>
      </c>
      <c r="V9" s="754">
        <v>54.504366931761297</v>
      </c>
    </row>
    <row r="10" spans="1:22" x14ac:dyDescent="0.3">
      <c r="A10" s="761">
        <v>4</v>
      </c>
      <c r="B10" s="766" t="s">
        <v>711</v>
      </c>
      <c r="C10" s="763">
        <v>11717.68</v>
      </c>
      <c r="D10" s="754">
        <v>11717.68</v>
      </c>
      <c r="E10" s="754">
        <v>0</v>
      </c>
      <c r="F10" s="754">
        <v>0</v>
      </c>
      <c r="G10" s="754"/>
      <c r="H10" s="754">
        <v>0</v>
      </c>
      <c r="I10" s="754">
        <v>0</v>
      </c>
      <c r="J10" s="754">
        <v>0</v>
      </c>
      <c r="K10" s="754">
        <v>0</v>
      </c>
      <c r="L10" s="754"/>
      <c r="M10" s="754">
        <v>180.80288205400001</v>
      </c>
      <c r="N10" s="754">
        <v>180.80288205400001</v>
      </c>
      <c r="O10" s="754">
        <v>0</v>
      </c>
      <c r="P10" s="754">
        <v>0</v>
      </c>
      <c r="Q10" s="754"/>
      <c r="R10" s="764">
        <v>15</v>
      </c>
      <c r="S10" s="765">
        <v>0</v>
      </c>
      <c r="T10" s="765">
        <v>0</v>
      </c>
      <c r="U10" s="765">
        <v>0.12</v>
      </c>
      <c r="V10" s="754">
        <v>13.3085150814837</v>
      </c>
    </row>
    <row r="11" spans="1:22" x14ac:dyDescent="0.3">
      <c r="A11" s="761">
        <v>5</v>
      </c>
      <c r="B11" s="766" t="s">
        <v>712</v>
      </c>
      <c r="C11" s="763">
        <v>27029.93</v>
      </c>
      <c r="D11" s="754">
        <v>26510.94</v>
      </c>
      <c r="E11" s="754">
        <v>518.99</v>
      </c>
      <c r="F11" s="754">
        <v>0</v>
      </c>
      <c r="G11" s="754"/>
      <c r="H11" s="754">
        <v>526</v>
      </c>
      <c r="I11" s="754">
        <v>0</v>
      </c>
      <c r="J11" s="754">
        <v>526</v>
      </c>
      <c r="K11" s="754">
        <v>0</v>
      </c>
      <c r="L11" s="754"/>
      <c r="M11" s="754">
        <v>1263.217872145</v>
      </c>
      <c r="N11" s="754">
        <v>1040.700441145</v>
      </c>
      <c r="O11" s="754">
        <v>222.51743099999999</v>
      </c>
      <c r="P11" s="754">
        <v>0</v>
      </c>
      <c r="Q11" s="754"/>
      <c r="R11" s="764">
        <v>25</v>
      </c>
      <c r="S11" s="765">
        <v>0.48</v>
      </c>
      <c r="T11" s="765">
        <v>0.48049999999999998</v>
      </c>
      <c r="U11" s="765">
        <v>0.16984680685447501</v>
      </c>
      <c r="V11" s="754">
        <v>76.116648840747999</v>
      </c>
    </row>
    <row r="12" spans="1:22" x14ac:dyDescent="0.3">
      <c r="A12" s="761">
        <v>6</v>
      </c>
      <c r="B12" s="766" t="s">
        <v>713</v>
      </c>
      <c r="C12" s="763">
        <v>59016.19</v>
      </c>
      <c r="D12" s="754">
        <v>59016.19</v>
      </c>
      <c r="E12" s="754">
        <v>0</v>
      </c>
      <c r="F12" s="754">
        <v>0</v>
      </c>
      <c r="G12" s="754"/>
      <c r="H12" s="754">
        <v>59723.3</v>
      </c>
      <c r="I12" s="754">
        <v>59723.3</v>
      </c>
      <c r="J12" s="754">
        <v>0</v>
      </c>
      <c r="K12" s="754">
        <v>0</v>
      </c>
      <c r="L12" s="754"/>
      <c r="M12" s="754">
        <v>2735.6522335700001</v>
      </c>
      <c r="N12" s="754">
        <v>2735.6522335700001</v>
      </c>
      <c r="O12" s="754">
        <v>0</v>
      </c>
      <c r="P12" s="754">
        <v>0</v>
      </c>
      <c r="Q12" s="754"/>
      <c r="R12" s="764">
        <v>62</v>
      </c>
      <c r="S12" s="765">
        <v>0.18</v>
      </c>
      <c r="T12" s="765">
        <v>0.275425073654468</v>
      </c>
      <c r="U12" s="765">
        <v>0.24229600724818001</v>
      </c>
      <c r="V12" s="754">
        <v>31.953394094061299</v>
      </c>
    </row>
    <row r="13" spans="1:22" x14ac:dyDescent="0.3">
      <c r="A13" s="761">
        <v>7</v>
      </c>
      <c r="B13" s="766" t="s">
        <v>714</v>
      </c>
      <c r="C13" s="763">
        <v>789866.54</v>
      </c>
      <c r="D13" s="754">
        <v>789866.54</v>
      </c>
      <c r="E13" s="754">
        <v>0</v>
      </c>
      <c r="F13" s="754">
        <v>0</v>
      </c>
      <c r="G13" s="754"/>
      <c r="H13" s="754">
        <v>799438.75</v>
      </c>
      <c r="I13" s="754">
        <v>799438.75</v>
      </c>
      <c r="J13" s="754">
        <v>0</v>
      </c>
      <c r="K13" s="754">
        <v>0</v>
      </c>
      <c r="L13" s="754"/>
      <c r="M13" s="754">
        <v>789866.54</v>
      </c>
      <c r="N13" s="754">
        <v>789866.54</v>
      </c>
      <c r="O13" s="754">
        <v>0</v>
      </c>
      <c r="P13" s="754">
        <v>0</v>
      </c>
      <c r="Q13" s="754"/>
      <c r="R13" s="764">
        <v>12</v>
      </c>
      <c r="S13" s="765">
        <v>0.128078433192581</v>
      </c>
      <c r="T13" s="765">
        <v>0.14980543070426799</v>
      </c>
      <c r="U13" s="765">
        <v>0.12622719401432</v>
      </c>
      <c r="V13" s="754">
        <v>126.195464531261</v>
      </c>
    </row>
    <row r="14" spans="1:22" x14ac:dyDescent="0.3">
      <c r="A14" s="767">
        <v>7.1</v>
      </c>
      <c r="B14" s="768" t="s">
        <v>715</v>
      </c>
      <c r="C14" s="763">
        <v>433467.15</v>
      </c>
      <c r="D14" s="754">
        <v>433467.15</v>
      </c>
      <c r="E14" s="754">
        <v>0</v>
      </c>
      <c r="F14" s="754">
        <v>0</v>
      </c>
      <c r="G14" s="754"/>
      <c r="H14" s="754">
        <v>436925.45</v>
      </c>
      <c r="I14" s="754">
        <v>436925.45</v>
      </c>
      <c r="J14" s="754">
        <v>0</v>
      </c>
      <c r="K14" s="754">
        <v>0</v>
      </c>
      <c r="L14" s="754"/>
      <c r="M14" s="754">
        <v>18685.049411</v>
      </c>
      <c r="N14" s="754">
        <v>18685.049411</v>
      </c>
      <c r="O14" s="754">
        <v>0</v>
      </c>
      <c r="P14" s="754">
        <v>0</v>
      </c>
      <c r="Q14" s="754"/>
      <c r="R14" s="764">
        <v>5</v>
      </c>
      <c r="S14" s="765">
        <v>0.122</v>
      </c>
      <c r="T14" s="765">
        <v>0.14699999999999999</v>
      </c>
      <c r="U14" s="765">
        <v>0.121066299810723</v>
      </c>
      <c r="V14" s="754">
        <v>125.508162655463</v>
      </c>
    </row>
    <row r="15" spans="1:22" ht="24" x14ac:dyDescent="0.3">
      <c r="A15" s="767">
        <v>7.2</v>
      </c>
      <c r="B15" s="768" t="s">
        <v>716</v>
      </c>
      <c r="C15" s="763">
        <v>209504.44</v>
      </c>
      <c r="D15" s="754">
        <v>209504.44</v>
      </c>
      <c r="E15" s="754">
        <v>0</v>
      </c>
      <c r="F15" s="754">
        <v>0</v>
      </c>
      <c r="G15" s="754"/>
      <c r="H15" s="754">
        <v>211186.2</v>
      </c>
      <c r="I15" s="754">
        <v>211186.2</v>
      </c>
      <c r="J15" s="754">
        <v>0</v>
      </c>
      <c r="K15" s="754">
        <v>0</v>
      </c>
      <c r="L15" s="754"/>
      <c r="M15" s="754">
        <v>9031.3452359999992</v>
      </c>
      <c r="N15" s="754">
        <v>9031.3452359999992</v>
      </c>
      <c r="O15" s="754">
        <v>0</v>
      </c>
      <c r="P15" s="754">
        <v>0</v>
      </c>
      <c r="Q15" s="754"/>
      <c r="R15" s="764">
        <v>3</v>
      </c>
      <c r="S15" s="765">
        <v>0.13500000000000001</v>
      </c>
      <c r="T15" s="765">
        <v>0.153</v>
      </c>
      <c r="U15" s="765">
        <v>0.13385958908555801</v>
      </c>
      <c r="V15" s="754">
        <v>158.997263370647</v>
      </c>
    </row>
    <row r="16" spans="1:22" x14ac:dyDescent="0.3">
      <c r="A16" s="767">
        <v>7.3</v>
      </c>
      <c r="B16" s="768" t="s">
        <v>717</v>
      </c>
      <c r="C16" s="763">
        <v>146894.95000000001</v>
      </c>
      <c r="D16" s="754">
        <v>146894.95000000001</v>
      </c>
      <c r="E16" s="754">
        <v>0</v>
      </c>
      <c r="F16" s="754">
        <v>0</v>
      </c>
      <c r="G16" s="754"/>
      <c r="H16" s="754">
        <v>151327.1</v>
      </c>
      <c r="I16" s="754">
        <v>151327.1</v>
      </c>
      <c r="J16" s="754">
        <v>0</v>
      </c>
      <c r="K16" s="754">
        <v>0</v>
      </c>
      <c r="L16" s="754"/>
      <c r="M16" s="754">
        <v>6471.4800679999998</v>
      </c>
      <c r="N16" s="754">
        <v>6471.4800679999998</v>
      </c>
      <c r="O16" s="754">
        <v>0</v>
      </c>
      <c r="P16" s="754">
        <v>0</v>
      </c>
      <c r="Q16" s="754"/>
      <c r="R16" s="764">
        <v>4</v>
      </c>
      <c r="S16" s="765">
        <v>0</v>
      </c>
      <c r="T16" s="765">
        <v>0</v>
      </c>
      <c r="U16" s="765">
        <v>0.130570824933055</v>
      </c>
      <c r="V16" s="754">
        <v>81.441034841565298</v>
      </c>
    </row>
    <row r="17" spans="1:22" x14ac:dyDescent="0.3">
      <c r="A17" s="761">
        <v>8</v>
      </c>
      <c r="B17" s="766" t="s">
        <v>718</v>
      </c>
      <c r="C17" s="763">
        <v>0</v>
      </c>
      <c r="D17" s="754">
        <v>0</v>
      </c>
      <c r="E17" s="754">
        <v>0</v>
      </c>
      <c r="F17" s="754">
        <v>0</v>
      </c>
      <c r="G17" s="754"/>
      <c r="H17" s="754">
        <v>0</v>
      </c>
      <c r="I17" s="754">
        <v>0</v>
      </c>
      <c r="J17" s="754">
        <v>0</v>
      </c>
      <c r="K17" s="754">
        <v>0</v>
      </c>
      <c r="L17" s="754"/>
      <c r="M17" s="754">
        <v>0</v>
      </c>
      <c r="N17" s="754">
        <v>0</v>
      </c>
      <c r="O17" s="754">
        <v>0</v>
      </c>
      <c r="P17" s="754">
        <v>0</v>
      </c>
      <c r="Q17" s="754"/>
      <c r="R17" s="764">
        <v>0</v>
      </c>
      <c r="S17" s="765">
        <v>0</v>
      </c>
      <c r="T17" s="765">
        <v>0</v>
      </c>
      <c r="U17" s="765">
        <v>0</v>
      </c>
      <c r="V17" s="754">
        <v>0</v>
      </c>
    </row>
    <row r="18" spans="1:22" x14ac:dyDescent="0.3">
      <c r="A18" s="769">
        <v>9</v>
      </c>
      <c r="B18" s="770" t="s">
        <v>719</v>
      </c>
      <c r="C18" s="763">
        <v>0</v>
      </c>
      <c r="D18" s="754">
        <v>0</v>
      </c>
      <c r="E18" s="754">
        <v>0</v>
      </c>
      <c r="F18" s="754">
        <v>0</v>
      </c>
      <c r="G18" s="771"/>
      <c r="H18" s="754">
        <v>0</v>
      </c>
      <c r="I18" s="754">
        <v>0</v>
      </c>
      <c r="J18" s="754">
        <v>0</v>
      </c>
      <c r="K18" s="754">
        <v>0</v>
      </c>
      <c r="L18" s="771"/>
      <c r="M18" s="754">
        <v>0</v>
      </c>
      <c r="N18" s="754">
        <v>0</v>
      </c>
      <c r="O18" s="771">
        <v>0</v>
      </c>
      <c r="P18" s="771">
        <v>0</v>
      </c>
      <c r="Q18" s="771"/>
      <c r="R18" s="772">
        <v>0</v>
      </c>
      <c r="S18" s="773">
        <v>0</v>
      </c>
      <c r="T18" s="773">
        <v>0</v>
      </c>
      <c r="U18" s="773">
        <v>0</v>
      </c>
      <c r="V18" s="771">
        <v>0</v>
      </c>
    </row>
    <row r="19" spans="1:22" x14ac:dyDescent="0.3">
      <c r="A19" s="761">
        <v>10</v>
      </c>
      <c r="B19" s="774" t="s">
        <v>720</v>
      </c>
      <c r="C19" s="763">
        <v>7282936.96</v>
      </c>
      <c r="D19" s="754">
        <v>6890231.5999999996</v>
      </c>
      <c r="E19" s="754">
        <v>197346.54</v>
      </c>
      <c r="F19" s="754">
        <v>195358.82</v>
      </c>
      <c r="G19" s="754"/>
      <c r="H19" s="754">
        <v>7341187.084999999</v>
      </c>
      <c r="I19" s="754">
        <v>6944312.1849999996</v>
      </c>
      <c r="J19" s="754">
        <v>199069.6</v>
      </c>
      <c r="K19" s="754">
        <v>197805.3</v>
      </c>
      <c r="L19" s="754"/>
      <c r="M19" s="754">
        <v>327951.83275036595</v>
      </c>
      <c r="N19" s="754">
        <v>202306.15559470397</v>
      </c>
      <c r="O19" s="754">
        <v>25049.080533889999</v>
      </c>
      <c r="P19" s="754">
        <v>100596.596621772</v>
      </c>
      <c r="Q19" s="754"/>
      <c r="R19" s="764">
        <v>735</v>
      </c>
      <c r="S19" s="765">
        <v>0.14879581572526501</v>
      </c>
      <c r="T19" s="765">
        <v>0.17366205383059999</v>
      </c>
      <c r="U19" s="765">
        <v>0.13748092686364</v>
      </c>
      <c r="V19" s="754">
        <v>72.177647500878507</v>
      </c>
    </row>
    <row r="20" spans="1:22" ht="24" x14ac:dyDescent="0.3">
      <c r="A20" s="767">
        <v>10.1</v>
      </c>
      <c r="B20" s="768" t="s">
        <v>721</v>
      </c>
      <c r="C20" s="764"/>
      <c r="D20" s="754"/>
      <c r="E20" s="754"/>
      <c r="F20" s="754"/>
      <c r="G20" s="754"/>
      <c r="H20" s="754">
        <v>0</v>
      </c>
      <c r="I20" s="754"/>
      <c r="J20" s="754"/>
      <c r="K20" s="754"/>
      <c r="L20" s="754"/>
      <c r="M20" s="754">
        <v>0</v>
      </c>
      <c r="N20" s="754"/>
      <c r="O20" s="754"/>
      <c r="P20" s="754"/>
      <c r="Q20" s="754"/>
      <c r="R20" s="764"/>
      <c r="S20" s="764"/>
      <c r="T20" s="764"/>
      <c r="U20" s="764"/>
      <c r="V20" s="764"/>
    </row>
    <row r="23" spans="1:22" s="247" customFormat="1" x14ac:dyDescent="0.3">
      <c r="C23" s="266"/>
      <c r="D23" s="266"/>
      <c r="E23" s="266"/>
      <c r="F23" s="266"/>
      <c r="G23" s="266"/>
      <c r="H23" s="266"/>
      <c r="I23" s="266"/>
      <c r="J23" s="266"/>
      <c r="K23" s="266">
        <f t="shared" ref="E23:P23" si="0">SUM(K7:K18)-K19-K13</f>
        <v>0</v>
      </c>
      <c r="L23" s="266">
        <f t="shared" si="0"/>
        <v>0</v>
      </c>
      <c r="M23" s="266">
        <f t="shared" si="0"/>
        <v>0</v>
      </c>
      <c r="N23" s="266">
        <f t="shared" si="0"/>
        <v>0</v>
      </c>
      <c r="O23" s="266">
        <f t="shared" si="0"/>
        <v>0</v>
      </c>
      <c r="P23" s="266">
        <f t="shared" si="0"/>
        <v>0</v>
      </c>
      <c r="Q23" s="266">
        <f t="shared" ref="Q23:R23" si="1">SUM(Q7:Q18)-Q19-Q13</f>
        <v>0</v>
      </c>
      <c r="R23" s="266">
        <f t="shared" si="1"/>
        <v>0</v>
      </c>
      <c r="S23" s="775"/>
      <c r="T23" s="775"/>
      <c r="U23" s="776"/>
      <c r="V23" s="777"/>
    </row>
  </sheetData>
  <mergeCells count="9">
    <mergeCell ref="T5:T6"/>
    <mergeCell ref="U5:U6"/>
    <mergeCell ref="V5:V6"/>
    <mergeCell ref="A5:B6"/>
    <mergeCell ref="C5:G5"/>
    <mergeCell ref="H5:L5"/>
    <mergeCell ref="M5:Q5"/>
    <mergeCell ref="R5:R6"/>
    <mergeCell ref="S5:S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C488-1065-4E8B-9F33-B9E742699FD4}">
  <dimension ref="A1:H69"/>
  <sheetViews>
    <sheetView zoomScaleNormal="100" workbookViewId="0">
      <selection activeCell="C7" sqref="C7:H69"/>
    </sheetView>
  </sheetViews>
  <sheetFormatPr defaultRowHeight="14.4" x14ac:dyDescent="0.3"/>
  <cols>
    <col min="1" max="1" width="8.88671875" style="123"/>
    <col min="2" max="2" width="69.33203125" style="124" customWidth="1"/>
    <col min="3" max="3" width="15.6640625" style="83" customWidth="1"/>
    <col min="4" max="4" width="14.44140625" style="83" customWidth="1"/>
    <col min="5" max="8" width="13.109375" style="83" customWidth="1"/>
    <col min="9" max="9" width="3" customWidth="1"/>
    <col min="10" max="10" width="13.77734375" bestFit="1" customWidth="1"/>
    <col min="11" max="11" width="13.109375" bestFit="1" customWidth="1"/>
  </cols>
  <sheetData>
    <row r="1" spans="1:8" x14ac:dyDescent="0.3">
      <c r="A1" s="1" t="s">
        <v>0</v>
      </c>
      <c r="B1" s="2" t="s">
        <v>199</v>
      </c>
      <c r="C1" s="81"/>
      <c r="D1" s="82"/>
      <c r="E1" s="82"/>
      <c r="F1" s="82"/>
      <c r="G1" s="82"/>
    </row>
    <row r="2" spans="1:8" x14ac:dyDescent="0.3">
      <c r="A2" s="1" t="s">
        <v>1</v>
      </c>
      <c r="B2" s="5">
        <f>'1. key ratios'!B2</f>
        <v>45016</v>
      </c>
      <c r="C2" s="81"/>
      <c r="D2" s="82"/>
      <c r="E2" s="82"/>
      <c r="F2" s="82"/>
      <c r="G2" s="82"/>
    </row>
    <row r="3" spans="1:8" ht="15" thickBot="1" x14ac:dyDescent="0.35">
      <c r="A3" s="1"/>
      <c r="B3" s="3"/>
      <c r="C3" s="81"/>
      <c r="D3" s="82"/>
      <c r="E3" s="82"/>
      <c r="F3" s="82"/>
      <c r="G3" s="82"/>
    </row>
    <row r="4" spans="1:8" ht="21" customHeight="1" x14ac:dyDescent="0.3">
      <c r="A4" s="84" t="s">
        <v>6</v>
      </c>
      <c r="B4" s="85" t="s">
        <v>49</v>
      </c>
      <c r="C4" s="86" t="s">
        <v>50</v>
      </c>
      <c r="D4" s="86"/>
      <c r="E4" s="86"/>
      <c r="F4" s="86" t="s">
        <v>51</v>
      </c>
      <c r="G4" s="86"/>
      <c r="H4" s="87"/>
    </row>
    <row r="5" spans="1:8" ht="21" customHeight="1" x14ac:dyDescent="0.3">
      <c r="A5" s="84"/>
      <c r="B5" s="88"/>
      <c r="C5" s="89" t="s">
        <v>52</v>
      </c>
      <c r="D5" s="89" t="s">
        <v>53</v>
      </c>
      <c r="E5" s="89" t="s">
        <v>54</v>
      </c>
      <c r="F5" s="89" t="s">
        <v>52</v>
      </c>
      <c r="G5" s="89" t="s">
        <v>53</v>
      </c>
      <c r="H5" s="89" t="s">
        <v>54</v>
      </c>
    </row>
    <row r="6" spans="1:8" ht="26.4" customHeight="1" x14ac:dyDescent="0.3">
      <c r="A6" s="84"/>
      <c r="B6" s="90" t="s">
        <v>55</v>
      </c>
      <c r="C6" s="91"/>
      <c r="D6" s="92"/>
      <c r="E6" s="92"/>
      <c r="F6" s="92"/>
      <c r="G6" s="92"/>
      <c r="H6" s="93"/>
    </row>
    <row r="7" spans="1:8" ht="23.1" customHeight="1" x14ac:dyDescent="0.3">
      <c r="A7" s="94">
        <v>1</v>
      </c>
      <c r="B7" s="95" t="s">
        <v>56</v>
      </c>
      <c r="C7" s="96">
        <v>5396356.2400000039</v>
      </c>
      <c r="D7" s="96">
        <v>7142542.9000000013</v>
      </c>
      <c r="E7" s="97">
        <f>C7+D7</f>
        <v>12538899.140000004</v>
      </c>
      <c r="F7" s="96">
        <v>972763.15999999968</v>
      </c>
      <c r="G7" s="96">
        <v>16270374.94999999</v>
      </c>
      <c r="H7" s="97">
        <f>F7+G7</f>
        <v>17243138.109999988</v>
      </c>
    </row>
    <row r="8" spans="1:8" x14ac:dyDescent="0.3">
      <c r="A8" s="94">
        <v>1.1000000000000001</v>
      </c>
      <c r="B8" s="98" t="s">
        <v>57</v>
      </c>
      <c r="C8" s="96">
        <v>985348.63000000129</v>
      </c>
      <c r="D8" s="96">
        <v>1586475.949999999</v>
      </c>
      <c r="E8" s="97">
        <f t="shared" ref="E8:E36" si="0">C8+D8</f>
        <v>2571824.58</v>
      </c>
      <c r="F8" s="96">
        <v>759514.00999999978</v>
      </c>
      <c r="G8" s="96">
        <v>899574.16000000061</v>
      </c>
      <c r="H8" s="97">
        <f t="shared" ref="H8:H36" si="1">F8+G8</f>
        <v>1659088.1700000004</v>
      </c>
    </row>
    <row r="9" spans="1:8" x14ac:dyDescent="0.3">
      <c r="A9" s="94">
        <v>1.2</v>
      </c>
      <c r="B9" s="98" t="s">
        <v>58</v>
      </c>
      <c r="C9" s="96">
        <v>559640.31000000238</v>
      </c>
      <c r="D9" s="96">
        <v>2931982.8800000004</v>
      </c>
      <c r="E9" s="97">
        <f t="shared" si="0"/>
        <v>3491623.1900000027</v>
      </c>
      <c r="F9" s="96">
        <v>0</v>
      </c>
      <c r="G9" s="96">
        <v>1133017.3000000003</v>
      </c>
      <c r="H9" s="97">
        <f t="shared" si="1"/>
        <v>1133017.3000000003</v>
      </c>
    </row>
    <row r="10" spans="1:8" x14ac:dyDescent="0.3">
      <c r="A10" s="94">
        <v>1.3</v>
      </c>
      <c r="B10" s="98" t="s">
        <v>59</v>
      </c>
      <c r="C10" s="118">
        <v>3851367.3</v>
      </c>
      <c r="D10" s="118">
        <v>2624084.0700000022</v>
      </c>
      <c r="E10" s="97">
        <f t="shared" si="0"/>
        <v>6475451.370000002</v>
      </c>
      <c r="F10" s="96">
        <v>213249.14999999991</v>
      </c>
      <c r="G10" s="96">
        <v>14237783.489999989</v>
      </c>
      <c r="H10" s="97">
        <f t="shared" si="1"/>
        <v>14451032.639999989</v>
      </c>
    </row>
    <row r="11" spans="1:8" x14ac:dyDescent="0.3">
      <c r="A11" s="94">
        <v>2</v>
      </c>
      <c r="B11" s="99" t="s">
        <v>60</v>
      </c>
      <c r="C11" s="96">
        <v>97346.140285255504</v>
      </c>
      <c r="D11" s="96">
        <v>0</v>
      </c>
      <c r="E11" s="97">
        <f t="shared" si="0"/>
        <v>97346.140285255504</v>
      </c>
      <c r="F11" s="96">
        <v>146127</v>
      </c>
      <c r="G11" s="96">
        <v>1260</v>
      </c>
      <c r="H11" s="97">
        <f t="shared" si="1"/>
        <v>147387</v>
      </c>
    </row>
    <row r="12" spans="1:8" x14ac:dyDescent="0.3">
      <c r="A12" s="94">
        <v>2.1</v>
      </c>
      <c r="B12" s="100" t="s">
        <v>61</v>
      </c>
      <c r="C12" s="96">
        <v>97346.140285255504</v>
      </c>
      <c r="D12" s="96">
        <v>0</v>
      </c>
      <c r="E12" s="97">
        <f t="shared" si="0"/>
        <v>97346.140285255504</v>
      </c>
      <c r="F12" s="96">
        <v>146127</v>
      </c>
      <c r="G12" s="96">
        <v>1260</v>
      </c>
      <c r="H12" s="97">
        <f t="shared" si="1"/>
        <v>147387</v>
      </c>
    </row>
    <row r="13" spans="1:8" ht="26.4" customHeight="1" x14ac:dyDescent="0.3">
      <c r="A13" s="94">
        <v>3</v>
      </c>
      <c r="B13" s="101" t="s">
        <v>62</v>
      </c>
      <c r="C13" s="96"/>
      <c r="D13" s="96"/>
      <c r="E13" s="97">
        <f t="shared" si="0"/>
        <v>0</v>
      </c>
      <c r="F13" s="96"/>
      <c r="G13" s="96"/>
      <c r="H13" s="97">
        <f t="shared" si="1"/>
        <v>0</v>
      </c>
    </row>
    <row r="14" spans="1:8" ht="26.4" customHeight="1" x14ac:dyDescent="0.3">
      <c r="A14" s="94">
        <v>4</v>
      </c>
      <c r="B14" s="102" t="s">
        <v>63</v>
      </c>
      <c r="C14" s="96"/>
      <c r="D14" s="96"/>
      <c r="E14" s="97">
        <f t="shared" si="0"/>
        <v>0</v>
      </c>
      <c r="F14" s="96"/>
      <c r="G14" s="96"/>
      <c r="H14" s="97">
        <f t="shared" si="1"/>
        <v>0</v>
      </c>
    </row>
    <row r="15" spans="1:8" ht="24.6" customHeight="1" x14ac:dyDescent="0.3">
      <c r="A15" s="94">
        <v>5</v>
      </c>
      <c r="B15" s="102" t="s">
        <v>64</v>
      </c>
      <c r="C15" s="103">
        <v>20000</v>
      </c>
      <c r="D15" s="103">
        <v>0</v>
      </c>
      <c r="E15" s="104">
        <f t="shared" si="0"/>
        <v>20000</v>
      </c>
      <c r="F15" s="103">
        <v>20000</v>
      </c>
      <c r="G15" s="103">
        <v>0</v>
      </c>
      <c r="H15" s="104">
        <f t="shared" si="1"/>
        <v>20000</v>
      </c>
    </row>
    <row r="16" spans="1:8" x14ac:dyDescent="0.3">
      <c r="A16" s="94">
        <v>5.0999999999999996</v>
      </c>
      <c r="B16" s="105" t="s">
        <v>65</v>
      </c>
      <c r="C16" s="96">
        <v>20000</v>
      </c>
      <c r="D16" s="96"/>
      <c r="E16" s="97">
        <f t="shared" si="0"/>
        <v>20000</v>
      </c>
      <c r="F16" s="96">
        <v>20000</v>
      </c>
      <c r="G16" s="96">
        <v>0</v>
      </c>
      <c r="H16" s="97">
        <f t="shared" si="1"/>
        <v>20000</v>
      </c>
    </row>
    <row r="17" spans="1:8" x14ac:dyDescent="0.3">
      <c r="A17" s="94">
        <v>5.2</v>
      </c>
      <c r="B17" s="105" t="s">
        <v>66</v>
      </c>
      <c r="C17" s="96"/>
      <c r="D17" s="96"/>
      <c r="E17" s="97">
        <f t="shared" si="0"/>
        <v>0</v>
      </c>
      <c r="F17" s="96"/>
      <c r="G17" s="96"/>
      <c r="H17" s="97">
        <f t="shared" si="1"/>
        <v>0</v>
      </c>
    </row>
    <row r="18" spans="1:8" x14ac:dyDescent="0.3">
      <c r="A18" s="94">
        <v>5.3</v>
      </c>
      <c r="B18" s="105" t="s">
        <v>67</v>
      </c>
      <c r="C18" s="96"/>
      <c r="D18" s="96"/>
      <c r="E18" s="97">
        <f t="shared" si="0"/>
        <v>0</v>
      </c>
      <c r="F18" s="96"/>
      <c r="G18" s="96"/>
      <c r="H18" s="97">
        <f t="shared" si="1"/>
        <v>0</v>
      </c>
    </row>
    <row r="19" spans="1:8" x14ac:dyDescent="0.3">
      <c r="A19" s="94">
        <v>6</v>
      </c>
      <c r="B19" s="101" t="s">
        <v>68</v>
      </c>
      <c r="C19" s="96">
        <v>35288073.739832297</v>
      </c>
      <c r="D19" s="96">
        <v>7095553.497613051</v>
      </c>
      <c r="E19" s="97">
        <f t="shared" si="0"/>
        <v>42383627.237445347</v>
      </c>
      <c r="F19" s="96">
        <v>52686743.669017695</v>
      </c>
      <c r="G19" s="96">
        <v>3176322.1549403635</v>
      </c>
      <c r="H19" s="97">
        <f t="shared" si="1"/>
        <v>55863065.823958062</v>
      </c>
    </row>
    <row r="20" spans="1:8" x14ac:dyDescent="0.3">
      <c r="A20" s="94">
        <v>6.1</v>
      </c>
      <c r="B20" s="105" t="s">
        <v>66</v>
      </c>
      <c r="C20" s="96">
        <v>24839873.318004835</v>
      </c>
      <c r="D20" s="96"/>
      <c r="E20" s="97">
        <f t="shared" si="0"/>
        <v>24839873.318004835</v>
      </c>
      <c r="F20" s="96">
        <v>40753101.498353988</v>
      </c>
      <c r="G20" s="96"/>
      <c r="H20" s="97">
        <f t="shared" si="1"/>
        <v>40753101.498353988</v>
      </c>
    </row>
    <row r="21" spans="1:8" x14ac:dyDescent="0.3">
      <c r="A21" s="94">
        <v>6.2</v>
      </c>
      <c r="B21" s="105" t="s">
        <v>67</v>
      </c>
      <c r="C21" s="96">
        <v>10448200.421827463</v>
      </c>
      <c r="D21" s="96">
        <v>7095553.497613051</v>
      </c>
      <c r="E21" s="97">
        <f t="shared" si="0"/>
        <v>17543753.919440515</v>
      </c>
      <c r="F21" s="118">
        <v>11933642.170663709</v>
      </c>
      <c r="G21" s="118">
        <v>3176322.1549403635</v>
      </c>
      <c r="H21" s="97">
        <f t="shared" si="1"/>
        <v>15109964.325604072</v>
      </c>
    </row>
    <row r="22" spans="1:8" x14ac:dyDescent="0.3">
      <c r="A22" s="94">
        <v>7</v>
      </c>
      <c r="B22" s="106" t="s">
        <v>69</v>
      </c>
      <c r="C22" s="96"/>
      <c r="D22" s="96"/>
      <c r="E22" s="97">
        <f t="shared" si="0"/>
        <v>0</v>
      </c>
      <c r="F22" s="96"/>
      <c r="G22" s="96"/>
      <c r="H22" s="97">
        <f t="shared" si="1"/>
        <v>0</v>
      </c>
    </row>
    <row r="23" spans="1:8" x14ac:dyDescent="0.3">
      <c r="A23" s="94">
        <v>8</v>
      </c>
      <c r="B23" s="107" t="s">
        <v>70</v>
      </c>
      <c r="C23" s="96">
        <v>3389411.9415073614</v>
      </c>
      <c r="D23" s="96">
        <v>0</v>
      </c>
      <c r="E23" s="97">
        <f t="shared" si="0"/>
        <v>3389411.9415073614</v>
      </c>
      <c r="F23" s="96">
        <v>3481885.1302894512</v>
      </c>
      <c r="G23" s="96"/>
      <c r="H23" s="97">
        <f t="shared" si="1"/>
        <v>3481885.1302894512</v>
      </c>
    </row>
    <row r="24" spans="1:8" x14ac:dyDescent="0.3">
      <c r="A24" s="94">
        <v>9</v>
      </c>
      <c r="B24" s="102" t="s">
        <v>71</v>
      </c>
      <c r="C24" s="96">
        <v>19175030.120000005</v>
      </c>
      <c r="D24" s="96">
        <v>0</v>
      </c>
      <c r="E24" s="97">
        <f>C24+D24</f>
        <v>19175030.120000005</v>
      </c>
      <c r="F24" s="96">
        <v>20326687.522532187</v>
      </c>
      <c r="G24" s="96">
        <v>0</v>
      </c>
      <c r="H24" s="97">
        <f t="shared" si="1"/>
        <v>20326687.522532187</v>
      </c>
    </row>
    <row r="25" spans="1:8" x14ac:dyDescent="0.3">
      <c r="A25" s="94">
        <v>9.1</v>
      </c>
      <c r="B25" s="108" t="s">
        <v>72</v>
      </c>
      <c r="C25" s="96">
        <v>19175030.120000005</v>
      </c>
      <c r="D25" s="96"/>
      <c r="E25" s="97">
        <f>C25+D25</f>
        <v>19175030.120000005</v>
      </c>
      <c r="F25" s="96">
        <v>20326687.522532187</v>
      </c>
      <c r="G25" s="96"/>
      <c r="H25" s="97">
        <f t="shared" si="1"/>
        <v>20326687.522532187</v>
      </c>
    </row>
    <row r="26" spans="1:8" x14ac:dyDescent="0.3">
      <c r="A26" s="94">
        <v>9.1999999999999993</v>
      </c>
      <c r="B26" s="108" t="s">
        <v>73</v>
      </c>
      <c r="C26" s="96"/>
      <c r="D26" s="96"/>
      <c r="E26" s="97">
        <f>C26+D26</f>
        <v>0</v>
      </c>
      <c r="F26" s="96"/>
      <c r="G26" s="96"/>
      <c r="H26" s="97">
        <f t="shared" si="1"/>
        <v>0</v>
      </c>
    </row>
    <row r="27" spans="1:8" x14ac:dyDescent="0.3">
      <c r="A27" s="94">
        <v>10</v>
      </c>
      <c r="B27" s="102" t="s">
        <v>74</v>
      </c>
      <c r="C27" s="96">
        <v>776498.50000000023</v>
      </c>
      <c r="D27" s="96">
        <v>0</v>
      </c>
      <c r="E27" s="97">
        <f t="shared" si="0"/>
        <v>776498.50000000023</v>
      </c>
      <c r="F27" s="96">
        <v>250803.11000000042</v>
      </c>
      <c r="G27" s="96">
        <v>0</v>
      </c>
      <c r="H27" s="97">
        <f t="shared" si="1"/>
        <v>250803.11000000042</v>
      </c>
    </row>
    <row r="28" spans="1:8" x14ac:dyDescent="0.3">
      <c r="A28" s="94">
        <v>10.1</v>
      </c>
      <c r="B28" s="108" t="s">
        <v>75</v>
      </c>
      <c r="C28" s="96"/>
      <c r="D28" s="96"/>
      <c r="E28" s="97">
        <f t="shared" si="0"/>
        <v>0</v>
      </c>
      <c r="F28" s="96"/>
      <c r="G28" s="96"/>
      <c r="H28" s="97">
        <f t="shared" si="1"/>
        <v>0</v>
      </c>
    </row>
    <row r="29" spans="1:8" x14ac:dyDescent="0.3">
      <c r="A29" s="94">
        <v>10.199999999999999</v>
      </c>
      <c r="B29" s="108" t="s">
        <v>76</v>
      </c>
      <c r="C29" s="96">
        <v>776498.50000000023</v>
      </c>
      <c r="D29" s="96"/>
      <c r="E29" s="97">
        <f t="shared" si="0"/>
        <v>776498.50000000023</v>
      </c>
      <c r="F29" s="96">
        <v>250803.11000000042</v>
      </c>
      <c r="G29" s="96"/>
      <c r="H29" s="97">
        <f t="shared" si="1"/>
        <v>250803.11000000042</v>
      </c>
    </row>
    <row r="30" spans="1:8" x14ac:dyDescent="0.3">
      <c r="A30" s="94">
        <v>11</v>
      </c>
      <c r="B30" s="102" t="s">
        <v>77</v>
      </c>
      <c r="C30" s="96">
        <v>45248.5</v>
      </c>
      <c r="D30" s="96">
        <v>0</v>
      </c>
      <c r="E30" s="97">
        <f t="shared" si="0"/>
        <v>45248.5</v>
      </c>
      <c r="F30" s="96">
        <v>45248.5</v>
      </c>
      <c r="G30" s="96">
        <v>0</v>
      </c>
      <c r="H30" s="97">
        <f t="shared" si="1"/>
        <v>45248.5</v>
      </c>
    </row>
    <row r="31" spans="1:8" x14ac:dyDescent="0.3">
      <c r="A31" s="94">
        <v>11.1</v>
      </c>
      <c r="B31" s="108" t="s">
        <v>78</v>
      </c>
      <c r="C31" s="96">
        <v>45248.5</v>
      </c>
      <c r="D31" s="96"/>
      <c r="E31" s="97">
        <f t="shared" si="0"/>
        <v>45248.5</v>
      </c>
      <c r="F31" s="96">
        <v>45248.5</v>
      </c>
      <c r="G31" s="96">
        <v>0</v>
      </c>
      <c r="H31" s="97">
        <f t="shared" si="1"/>
        <v>45248.5</v>
      </c>
    </row>
    <row r="32" spans="1:8" x14ac:dyDescent="0.3">
      <c r="A32" s="94">
        <v>11.2</v>
      </c>
      <c r="B32" s="108" t="s">
        <v>79</v>
      </c>
      <c r="C32" s="96"/>
      <c r="D32" s="96"/>
      <c r="E32" s="97">
        <f t="shared" si="0"/>
        <v>0</v>
      </c>
      <c r="F32" s="96"/>
      <c r="G32" s="96"/>
      <c r="H32" s="97">
        <f t="shared" si="1"/>
        <v>0</v>
      </c>
    </row>
    <row r="33" spans="1:8" x14ac:dyDescent="0.3">
      <c r="A33" s="94">
        <v>13</v>
      </c>
      <c r="B33" s="102" t="s">
        <v>80</v>
      </c>
      <c r="C33" s="118">
        <v>1064695</v>
      </c>
      <c r="D33" s="118">
        <v>4656.5</v>
      </c>
      <c r="E33" s="97">
        <f t="shared" si="0"/>
        <v>1069351.5</v>
      </c>
      <c r="F33" s="96">
        <v>1004848.4099999999</v>
      </c>
      <c r="G33" s="96">
        <v>54103.999999999993</v>
      </c>
      <c r="H33" s="97">
        <f t="shared" si="1"/>
        <v>1058952.4099999999</v>
      </c>
    </row>
    <row r="34" spans="1:8" x14ac:dyDescent="0.3">
      <c r="A34" s="94">
        <v>13.1</v>
      </c>
      <c r="B34" s="109" t="s">
        <v>81</v>
      </c>
      <c r="C34" s="118"/>
      <c r="D34" s="118"/>
      <c r="E34" s="97">
        <f t="shared" si="0"/>
        <v>0</v>
      </c>
      <c r="F34" s="96"/>
      <c r="G34" s="96"/>
      <c r="H34" s="97">
        <f t="shared" si="1"/>
        <v>0</v>
      </c>
    </row>
    <row r="35" spans="1:8" x14ac:dyDescent="0.3">
      <c r="A35" s="94">
        <v>13.2</v>
      </c>
      <c r="B35" s="109" t="s">
        <v>82</v>
      </c>
      <c r="C35" s="96"/>
      <c r="D35" s="96"/>
      <c r="E35" s="97">
        <f t="shared" si="0"/>
        <v>0</v>
      </c>
      <c r="F35" s="96"/>
      <c r="G35" s="96"/>
      <c r="H35" s="97">
        <f t="shared" si="1"/>
        <v>0</v>
      </c>
    </row>
    <row r="36" spans="1:8" x14ac:dyDescent="0.3">
      <c r="A36" s="94">
        <v>14</v>
      </c>
      <c r="B36" s="110" t="s">
        <v>83</v>
      </c>
      <c r="C36" s="96">
        <v>65252660.181624927</v>
      </c>
      <c r="D36" s="96">
        <v>14242752.897613052</v>
      </c>
      <c r="E36" s="97">
        <f t="shared" si="0"/>
        <v>79495413.079237983</v>
      </c>
      <c r="F36" s="96">
        <v>78935106.501839325</v>
      </c>
      <c r="G36" s="96">
        <v>19502061.104940355</v>
      </c>
      <c r="H36" s="97">
        <f t="shared" si="1"/>
        <v>98437167.60677968</v>
      </c>
    </row>
    <row r="37" spans="1:8" ht="22.5" customHeight="1" x14ac:dyDescent="0.3">
      <c r="A37" s="94"/>
      <c r="B37" s="112" t="s">
        <v>84</v>
      </c>
      <c r="C37" s="113"/>
      <c r="D37" s="114"/>
      <c r="E37" s="114"/>
      <c r="F37" s="114"/>
      <c r="G37" s="114"/>
      <c r="H37" s="115"/>
    </row>
    <row r="38" spans="1:8" x14ac:dyDescent="0.3">
      <c r="A38" s="94">
        <v>15</v>
      </c>
      <c r="B38" s="116" t="s">
        <v>85</v>
      </c>
      <c r="C38" s="96">
        <v>9463.2085039999802</v>
      </c>
      <c r="D38" s="96">
        <v>900</v>
      </c>
      <c r="E38" s="97">
        <f>C38+D38</f>
        <v>10363.20850399998</v>
      </c>
      <c r="F38" s="96">
        <v>4750</v>
      </c>
      <c r="G38" s="96">
        <v>0</v>
      </c>
      <c r="H38" s="97">
        <f>F38+G38</f>
        <v>4750</v>
      </c>
    </row>
    <row r="39" spans="1:8" x14ac:dyDescent="0.3">
      <c r="A39" s="94">
        <v>15.1</v>
      </c>
      <c r="B39" s="100" t="s">
        <v>61</v>
      </c>
      <c r="C39" s="96">
        <v>9463.2085039999802</v>
      </c>
      <c r="D39" s="96">
        <v>900</v>
      </c>
      <c r="E39" s="97">
        <f t="shared" ref="E39:E53" si="2">C39+D39</f>
        <v>10363.20850399998</v>
      </c>
      <c r="F39" s="96">
        <v>4750</v>
      </c>
      <c r="G39" s="96">
        <v>0</v>
      </c>
      <c r="H39" s="97">
        <f t="shared" ref="H39:H53" si="3">F39+G39</f>
        <v>4750</v>
      </c>
    </row>
    <row r="40" spans="1:8" ht="24" customHeight="1" x14ac:dyDescent="0.3">
      <c r="A40" s="94">
        <v>16</v>
      </c>
      <c r="B40" s="106" t="s">
        <v>86</v>
      </c>
      <c r="C40" s="96"/>
      <c r="D40" s="96"/>
      <c r="E40" s="97">
        <f t="shared" si="2"/>
        <v>0</v>
      </c>
      <c r="F40" s="96"/>
      <c r="G40" s="96"/>
      <c r="H40" s="97">
        <f t="shared" si="3"/>
        <v>0</v>
      </c>
    </row>
    <row r="41" spans="1:8" x14ac:dyDescent="0.3">
      <c r="A41" s="94">
        <v>17</v>
      </c>
      <c r="B41" s="106" t="s">
        <v>87</v>
      </c>
      <c r="C41" s="96">
        <v>9832481.9334576987</v>
      </c>
      <c r="D41" s="96">
        <v>8206332.5700000003</v>
      </c>
      <c r="E41" s="97">
        <f t="shared" si="2"/>
        <v>18038814.503457699</v>
      </c>
      <c r="F41" s="96">
        <v>29557686.202245202</v>
      </c>
      <c r="G41" s="96">
        <v>4972932.870000001</v>
      </c>
      <c r="H41" s="97">
        <f t="shared" si="3"/>
        <v>34530619.072245203</v>
      </c>
    </row>
    <row r="42" spans="1:8" x14ac:dyDescent="0.3">
      <c r="A42" s="94">
        <v>17.100000000000001</v>
      </c>
      <c r="B42" s="117" t="s">
        <v>88</v>
      </c>
      <c r="C42" s="118">
        <v>7790466.5234576985</v>
      </c>
      <c r="D42" s="118">
        <v>7977941.5899999999</v>
      </c>
      <c r="E42" s="97">
        <f t="shared" si="2"/>
        <v>15768408.113457698</v>
      </c>
      <c r="F42" s="118">
        <v>9141819.9622452054</v>
      </c>
      <c r="G42" s="118">
        <v>4972932.870000001</v>
      </c>
      <c r="H42" s="97">
        <f t="shared" si="3"/>
        <v>14114752.832245206</v>
      </c>
    </row>
    <row r="43" spans="1:8" x14ac:dyDescent="0.3">
      <c r="A43" s="94">
        <v>17.2</v>
      </c>
      <c r="B43" s="98" t="s">
        <v>89</v>
      </c>
      <c r="C43" s="118">
        <v>2009147.9</v>
      </c>
      <c r="D43" s="118">
        <v>0</v>
      </c>
      <c r="E43" s="97">
        <f t="shared" si="2"/>
        <v>2009147.9</v>
      </c>
      <c r="F43" s="96">
        <v>20374015.43</v>
      </c>
      <c r="G43" s="96">
        <v>0</v>
      </c>
      <c r="H43" s="97">
        <f t="shared" si="3"/>
        <v>20374015.43</v>
      </c>
    </row>
    <row r="44" spans="1:8" x14ac:dyDescent="0.3">
      <c r="A44" s="94">
        <v>17.3</v>
      </c>
      <c r="B44" s="117" t="s">
        <v>90</v>
      </c>
      <c r="C44" s="118"/>
      <c r="D44" s="118"/>
      <c r="E44" s="97">
        <f t="shared" si="2"/>
        <v>0</v>
      </c>
      <c r="F44" s="96"/>
      <c r="G44" s="96"/>
      <c r="H44" s="97">
        <f t="shared" si="3"/>
        <v>0</v>
      </c>
    </row>
    <row r="45" spans="1:8" x14ac:dyDescent="0.3">
      <c r="A45" s="94">
        <v>17.399999999999999</v>
      </c>
      <c r="B45" s="117" t="s">
        <v>91</v>
      </c>
      <c r="C45" s="118">
        <v>32867.51</v>
      </c>
      <c r="D45" s="118">
        <v>228390.98</v>
      </c>
      <c r="E45" s="97">
        <f t="shared" si="2"/>
        <v>261258.49000000002</v>
      </c>
      <c r="F45" s="118">
        <v>41850.81</v>
      </c>
      <c r="G45" s="118"/>
      <c r="H45" s="97">
        <f t="shared" si="3"/>
        <v>41850.81</v>
      </c>
    </row>
    <row r="46" spans="1:8" x14ac:dyDescent="0.3">
      <c r="A46" s="94">
        <v>18</v>
      </c>
      <c r="B46" s="102" t="s">
        <v>92</v>
      </c>
      <c r="C46" s="96">
        <v>14629.791745876177</v>
      </c>
      <c r="D46" s="96">
        <v>39970.433629477942</v>
      </c>
      <c r="E46" s="97">
        <f t="shared" si="2"/>
        <v>54600.225375354115</v>
      </c>
      <c r="F46" s="96"/>
      <c r="G46" s="96"/>
      <c r="H46" s="97">
        <f t="shared" si="3"/>
        <v>0</v>
      </c>
    </row>
    <row r="47" spans="1:8" x14ac:dyDescent="0.3">
      <c r="A47" s="94">
        <v>19</v>
      </c>
      <c r="B47" s="102" t="s">
        <v>93</v>
      </c>
      <c r="C47" s="96">
        <v>1752441.5988421449</v>
      </c>
      <c r="D47" s="96">
        <v>0</v>
      </c>
      <c r="E47" s="97">
        <f t="shared" si="2"/>
        <v>1752441.5988421449</v>
      </c>
      <c r="F47" s="96">
        <v>175808.26706310856</v>
      </c>
      <c r="G47" s="96">
        <v>0</v>
      </c>
      <c r="H47" s="97">
        <f t="shared" si="3"/>
        <v>175808.26706310856</v>
      </c>
    </row>
    <row r="48" spans="1:8" x14ac:dyDescent="0.3">
      <c r="A48" s="94">
        <v>19.100000000000001</v>
      </c>
      <c r="B48" s="119" t="s">
        <v>94</v>
      </c>
      <c r="C48" s="96">
        <v>0</v>
      </c>
      <c r="D48" s="96">
        <v>0</v>
      </c>
      <c r="E48" s="97">
        <f t="shared" si="2"/>
        <v>0</v>
      </c>
      <c r="F48" s="96">
        <v>157437.69</v>
      </c>
      <c r="G48" s="96"/>
      <c r="H48" s="97">
        <f t="shared" si="3"/>
        <v>157437.69</v>
      </c>
    </row>
    <row r="49" spans="1:8" x14ac:dyDescent="0.3">
      <c r="A49" s="94">
        <v>19.2</v>
      </c>
      <c r="B49" s="120" t="s">
        <v>95</v>
      </c>
      <c r="C49" s="96">
        <v>1752441.5988421449</v>
      </c>
      <c r="D49" s="96">
        <v>0</v>
      </c>
      <c r="E49" s="97">
        <f t="shared" si="2"/>
        <v>1752441.5988421449</v>
      </c>
      <c r="F49" s="96">
        <v>18370.577063108562</v>
      </c>
      <c r="G49" s="96">
        <v>0</v>
      </c>
      <c r="H49" s="97">
        <f t="shared" si="3"/>
        <v>18370.577063108562</v>
      </c>
    </row>
    <row r="50" spans="1:8" x14ac:dyDescent="0.3">
      <c r="A50" s="94">
        <v>20</v>
      </c>
      <c r="B50" s="110" t="s">
        <v>96</v>
      </c>
      <c r="C50" s="96">
        <v>2984880.43</v>
      </c>
      <c r="D50" s="96">
        <v>0</v>
      </c>
      <c r="E50" s="97">
        <f t="shared" si="2"/>
        <v>2984880.43</v>
      </c>
      <c r="F50" s="96">
        <v>2593493.4</v>
      </c>
      <c r="G50" s="96">
        <v>0</v>
      </c>
      <c r="H50" s="97">
        <f t="shared" si="3"/>
        <v>2593493.4</v>
      </c>
    </row>
    <row r="51" spans="1:8" x14ac:dyDescent="0.3">
      <c r="A51" s="94">
        <v>21</v>
      </c>
      <c r="B51" s="99" t="s">
        <v>97</v>
      </c>
      <c r="C51" s="96">
        <v>597835.42999999982</v>
      </c>
      <c r="D51" s="96">
        <v>226262.6</v>
      </c>
      <c r="E51" s="97">
        <f t="shared" si="2"/>
        <v>824098.0299999998</v>
      </c>
      <c r="F51" s="96">
        <v>467238.30000000005</v>
      </c>
      <c r="G51" s="96">
        <v>242481.74</v>
      </c>
      <c r="H51" s="97">
        <f t="shared" si="3"/>
        <v>709720.04</v>
      </c>
    </row>
    <row r="52" spans="1:8" x14ac:dyDescent="0.3">
      <c r="A52" s="94">
        <v>21.1</v>
      </c>
      <c r="B52" s="98" t="s">
        <v>98</v>
      </c>
      <c r="C52" s="96"/>
      <c r="D52" s="96"/>
      <c r="E52" s="97">
        <f t="shared" si="2"/>
        <v>0</v>
      </c>
      <c r="F52" s="96"/>
      <c r="G52" s="96"/>
      <c r="H52" s="97">
        <f t="shared" si="3"/>
        <v>0</v>
      </c>
    </row>
    <row r="53" spans="1:8" x14ac:dyDescent="0.3">
      <c r="A53" s="94">
        <v>22</v>
      </c>
      <c r="B53" s="110" t="s">
        <v>99</v>
      </c>
      <c r="C53" s="96">
        <v>15191732.39254972</v>
      </c>
      <c r="D53" s="96">
        <v>8473465.6036294792</v>
      </c>
      <c r="E53" s="97">
        <f t="shared" si="2"/>
        <v>23665197.996179201</v>
      </c>
      <c r="F53" s="96">
        <v>32798976.169308309</v>
      </c>
      <c r="G53" s="96">
        <v>5215414.6100000013</v>
      </c>
      <c r="H53" s="97">
        <f t="shared" si="3"/>
        <v>38014390.779308312</v>
      </c>
    </row>
    <row r="54" spans="1:8" ht="24" customHeight="1" x14ac:dyDescent="0.3">
      <c r="A54" s="94"/>
      <c r="B54" s="112" t="s">
        <v>100</v>
      </c>
      <c r="C54" s="113"/>
      <c r="D54" s="114"/>
      <c r="E54" s="114"/>
      <c r="F54" s="114"/>
      <c r="G54" s="114"/>
      <c r="H54" s="115"/>
    </row>
    <row r="55" spans="1:8" x14ac:dyDescent="0.3">
      <c r="A55" s="94">
        <v>23</v>
      </c>
      <c r="B55" s="110" t="s">
        <v>101</v>
      </c>
      <c r="C55" s="96">
        <v>62946400</v>
      </c>
      <c r="D55" s="96"/>
      <c r="E55" s="97">
        <f>C55+D55</f>
        <v>62946400</v>
      </c>
      <c r="F55" s="96">
        <v>61146400</v>
      </c>
      <c r="G55" s="96"/>
      <c r="H55" s="97">
        <f>F55+G55</f>
        <v>61146400</v>
      </c>
    </row>
    <row r="56" spans="1:8" x14ac:dyDescent="0.3">
      <c r="A56" s="94">
        <v>24</v>
      </c>
      <c r="B56" s="110" t="s">
        <v>102</v>
      </c>
      <c r="C56" s="96"/>
      <c r="D56" s="96"/>
      <c r="E56" s="97">
        <f t="shared" ref="E56:E69" si="4">C56+D56</f>
        <v>0</v>
      </c>
      <c r="F56" s="96"/>
      <c r="G56" s="96"/>
      <c r="H56" s="97">
        <f t="shared" ref="H56:H69" si="5">F56+G56</f>
        <v>0</v>
      </c>
    </row>
    <row r="57" spans="1:8" x14ac:dyDescent="0.3">
      <c r="A57" s="94">
        <v>25</v>
      </c>
      <c r="B57" s="110" t="s">
        <v>103</v>
      </c>
      <c r="C57" s="96"/>
      <c r="D57" s="96"/>
      <c r="E57" s="97">
        <f t="shared" si="4"/>
        <v>0</v>
      </c>
      <c r="F57" s="96"/>
      <c r="G57" s="96"/>
      <c r="H57" s="97">
        <f t="shared" si="5"/>
        <v>0</v>
      </c>
    </row>
    <row r="58" spans="1:8" x14ac:dyDescent="0.3">
      <c r="A58" s="94">
        <v>26</v>
      </c>
      <c r="B58" s="102" t="s">
        <v>104</v>
      </c>
      <c r="C58" s="96"/>
      <c r="D58" s="96"/>
      <c r="E58" s="97">
        <f t="shared" si="4"/>
        <v>0</v>
      </c>
      <c r="F58" s="96"/>
      <c r="G58" s="96"/>
      <c r="H58" s="97">
        <f t="shared" si="5"/>
        <v>0</v>
      </c>
    </row>
    <row r="59" spans="1:8" x14ac:dyDescent="0.3">
      <c r="A59" s="94">
        <v>27</v>
      </c>
      <c r="B59" s="102" t="s">
        <v>105</v>
      </c>
      <c r="C59" s="96">
        <v>0</v>
      </c>
      <c r="D59" s="96">
        <v>0</v>
      </c>
      <c r="E59" s="97">
        <f t="shared" si="4"/>
        <v>0</v>
      </c>
      <c r="F59" s="96"/>
      <c r="G59" s="96"/>
      <c r="H59" s="97">
        <f t="shared" si="5"/>
        <v>0</v>
      </c>
    </row>
    <row r="60" spans="1:8" x14ac:dyDescent="0.3">
      <c r="A60" s="94">
        <v>27.1</v>
      </c>
      <c r="B60" s="119" t="s">
        <v>106</v>
      </c>
      <c r="C60" s="96"/>
      <c r="D60" s="96"/>
      <c r="E60" s="97">
        <f t="shared" si="4"/>
        <v>0</v>
      </c>
      <c r="F60" s="96"/>
      <c r="G60" s="96"/>
      <c r="H60" s="97">
        <f t="shared" si="5"/>
        <v>0</v>
      </c>
    </row>
    <row r="61" spans="1:8" x14ac:dyDescent="0.3">
      <c r="A61" s="94">
        <v>27.2</v>
      </c>
      <c r="B61" s="117" t="s">
        <v>107</v>
      </c>
      <c r="C61" s="96"/>
      <c r="D61" s="96"/>
      <c r="E61" s="97">
        <f t="shared" si="4"/>
        <v>0</v>
      </c>
      <c r="F61" s="96"/>
      <c r="G61" s="96"/>
      <c r="H61" s="97">
        <f t="shared" si="5"/>
        <v>0</v>
      </c>
    </row>
    <row r="62" spans="1:8" x14ac:dyDescent="0.3">
      <c r="A62" s="94">
        <v>28</v>
      </c>
      <c r="B62" s="99" t="s">
        <v>108</v>
      </c>
      <c r="C62" s="96"/>
      <c r="D62" s="96"/>
      <c r="E62" s="97">
        <f t="shared" si="4"/>
        <v>0</v>
      </c>
      <c r="F62" s="96"/>
      <c r="G62" s="96"/>
      <c r="H62" s="97">
        <f t="shared" si="5"/>
        <v>0</v>
      </c>
    </row>
    <row r="63" spans="1:8" x14ac:dyDescent="0.3">
      <c r="A63" s="94">
        <v>29</v>
      </c>
      <c r="B63" s="102" t="s">
        <v>109</v>
      </c>
      <c r="C63" s="96">
        <v>4352500.4589957595</v>
      </c>
      <c r="D63" s="96">
        <v>0</v>
      </c>
      <c r="E63" s="97">
        <f t="shared" si="4"/>
        <v>4352500.4589957595</v>
      </c>
      <c r="F63" s="96">
        <v>6689488.7216853844</v>
      </c>
      <c r="G63" s="96"/>
      <c r="H63" s="97">
        <f t="shared" si="5"/>
        <v>6689488.7216853844</v>
      </c>
    </row>
    <row r="64" spans="1:8" x14ac:dyDescent="0.3">
      <c r="A64" s="94">
        <v>29.1</v>
      </c>
      <c r="B64" s="105" t="s">
        <v>110</v>
      </c>
      <c r="C64" s="96">
        <v>4352500.4589957595</v>
      </c>
      <c r="D64" s="96"/>
      <c r="E64" s="97">
        <f t="shared" si="4"/>
        <v>4352500.4589957595</v>
      </c>
      <c r="F64" s="96">
        <v>6689488.7216853844</v>
      </c>
      <c r="G64" s="96"/>
      <c r="H64" s="97">
        <f t="shared" si="5"/>
        <v>6689488.7216853844</v>
      </c>
    </row>
    <row r="65" spans="1:8" ht="24.9" customHeight="1" x14ac:dyDescent="0.3">
      <c r="A65" s="94">
        <v>29.2</v>
      </c>
      <c r="B65" s="119" t="s">
        <v>111</v>
      </c>
      <c r="C65" s="96"/>
      <c r="D65" s="96"/>
      <c r="E65" s="97">
        <f t="shared" si="4"/>
        <v>0</v>
      </c>
      <c r="F65" s="96"/>
      <c r="G65" s="96"/>
      <c r="H65" s="97">
        <f t="shared" si="5"/>
        <v>0</v>
      </c>
    </row>
    <row r="66" spans="1:8" ht="22.5" customHeight="1" x14ac:dyDescent="0.3">
      <c r="A66" s="94">
        <v>29.3</v>
      </c>
      <c r="B66" s="108" t="s">
        <v>112</v>
      </c>
      <c r="C66" s="96"/>
      <c r="D66" s="96"/>
      <c r="E66" s="97">
        <f t="shared" si="4"/>
        <v>0</v>
      </c>
      <c r="F66" s="96"/>
      <c r="G66" s="96"/>
      <c r="H66" s="97">
        <f t="shared" si="5"/>
        <v>0</v>
      </c>
    </row>
    <row r="67" spans="1:8" x14ac:dyDescent="0.3">
      <c r="A67" s="94">
        <v>30</v>
      </c>
      <c r="B67" s="102" t="s">
        <v>113</v>
      </c>
      <c r="C67" s="96">
        <v>-11468685.621432994</v>
      </c>
      <c r="D67" s="96"/>
      <c r="E67" s="97">
        <f t="shared" si="4"/>
        <v>-11468685.621432994</v>
      </c>
      <c r="F67" s="96">
        <v>-7413111.6882140078</v>
      </c>
      <c r="G67" s="96"/>
      <c r="H67" s="97">
        <f t="shared" si="5"/>
        <v>-7413111.6882140078</v>
      </c>
    </row>
    <row r="68" spans="1:8" x14ac:dyDescent="0.3">
      <c r="A68" s="94">
        <v>31</v>
      </c>
      <c r="B68" s="121" t="s">
        <v>114</v>
      </c>
      <c r="C68" s="96">
        <v>55830214.83756277</v>
      </c>
      <c r="D68" s="96">
        <v>0</v>
      </c>
      <c r="E68" s="97">
        <f t="shared" si="4"/>
        <v>55830214.83756277</v>
      </c>
      <c r="F68" s="96">
        <v>60422777.033471376</v>
      </c>
      <c r="G68" s="96">
        <v>0</v>
      </c>
      <c r="H68" s="97">
        <f t="shared" si="5"/>
        <v>60422777.033471376</v>
      </c>
    </row>
    <row r="69" spans="1:8" x14ac:dyDescent="0.3">
      <c r="A69" s="94">
        <v>32</v>
      </c>
      <c r="B69" s="122" t="s">
        <v>115</v>
      </c>
      <c r="C69" s="96">
        <v>71021947.230112493</v>
      </c>
      <c r="D69" s="96">
        <v>8473465.6036294792</v>
      </c>
      <c r="E69" s="97">
        <f t="shared" si="4"/>
        <v>79495412.833741978</v>
      </c>
      <c r="F69" s="96">
        <v>93221753.20277968</v>
      </c>
      <c r="G69" s="96">
        <v>5215414.6100000013</v>
      </c>
      <c r="H69" s="97">
        <f t="shared" si="5"/>
        <v>98437167.81277968</v>
      </c>
    </row>
  </sheetData>
  <mergeCells count="7">
    <mergeCell ref="C54:H54"/>
    <mergeCell ref="A4:A6"/>
    <mergeCell ref="B4:B5"/>
    <mergeCell ref="C4:E4"/>
    <mergeCell ref="F4:H4"/>
    <mergeCell ref="C6:H6"/>
    <mergeCell ref="C37:H3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6CA06-56B3-4997-B3CD-0A738D41D870}">
  <dimension ref="A1:D235"/>
  <sheetViews>
    <sheetView topLeftCell="A22" zoomScale="130" zoomScaleNormal="130" workbookViewId="0">
      <selection activeCell="D1" sqref="D1:D3"/>
    </sheetView>
  </sheetViews>
  <sheetFormatPr defaultColWidth="43.5546875" defaultRowHeight="12" x14ac:dyDescent="0.3"/>
  <cols>
    <col min="1" max="1" width="8" style="878" customWidth="1"/>
    <col min="2" max="2" width="66.109375" style="895" customWidth="1"/>
    <col min="3" max="3" width="131.44140625" style="896" customWidth="1"/>
    <col min="4" max="5" width="10.33203125" style="781" customWidth="1"/>
    <col min="6" max="16384" width="43.5546875" style="781"/>
  </cols>
  <sheetData>
    <row r="1" spans="1:3" ht="13.2" thickTop="1" thickBot="1" x14ac:dyDescent="0.35">
      <c r="A1" s="778" t="s">
        <v>722</v>
      </c>
      <c r="B1" s="779"/>
      <c r="C1" s="780"/>
    </row>
    <row r="2" spans="1:3" ht="26.25" customHeight="1" x14ac:dyDescent="0.3">
      <c r="A2" s="782"/>
      <c r="B2" s="783" t="s">
        <v>723</v>
      </c>
      <c r="C2" s="783"/>
    </row>
    <row r="3" spans="1:3" s="785" customFormat="1" ht="11.25" customHeight="1" x14ac:dyDescent="0.3">
      <c r="A3" s="784"/>
      <c r="B3" s="783" t="s">
        <v>724</v>
      </c>
      <c r="C3" s="783"/>
    </row>
    <row r="4" spans="1:3" ht="12" customHeight="1" thickBot="1" x14ac:dyDescent="0.35">
      <c r="A4" s="786" t="s">
        <v>725</v>
      </c>
      <c r="B4" s="787"/>
      <c r="C4" s="788"/>
    </row>
    <row r="5" spans="1:3" ht="12.6" thickTop="1" x14ac:dyDescent="0.3">
      <c r="A5" s="789"/>
      <c r="B5" s="790" t="s">
        <v>726</v>
      </c>
      <c r="C5" s="791"/>
    </row>
    <row r="6" spans="1:3" x14ac:dyDescent="0.3">
      <c r="A6" s="782"/>
      <c r="B6" s="792" t="s">
        <v>727</v>
      </c>
      <c r="C6" s="793"/>
    </row>
    <row r="7" spans="1:3" x14ac:dyDescent="0.3">
      <c r="A7" s="782"/>
      <c r="B7" s="792" t="s">
        <v>728</v>
      </c>
      <c r="C7" s="793"/>
    </row>
    <row r="8" spans="1:3" x14ac:dyDescent="0.3">
      <c r="A8" s="782"/>
      <c r="B8" s="792" t="s">
        <v>729</v>
      </c>
      <c r="C8" s="793"/>
    </row>
    <row r="9" spans="1:3" x14ac:dyDescent="0.3">
      <c r="A9" s="782"/>
      <c r="B9" s="794" t="s">
        <v>730</v>
      </c>
      <c r="C9" s="795"/>
    </row>
    <row r="10" spans="1:3" x14ac:dyDescent="0.3">
      <c r="A10" s="782"/>
      <c r="B10" s="796" t="s">
        <v>731</v>
      </c>
      <c r="C10" s="797" t="s">
        <v>731</v>
      </c>
    </row>
    <row r="11" spans="1:3" x14ac:dyDescent="0.3">
      <c r="A11" s="782"/>
      <c r="B11" s="796" t="s">
        <v>732</v>
      </c>
      <c r="C11" s="797" t="s">
        <v>732</v>
      </c>
    </row>
    <row r="12" spans="1:3" x14ac:dyDescent="0.3">
      <c r="A12" s="782"/>
      <c r="B12" s="796" t="s">
        <v>733</v>
      </c>
      <c r="C12" s="797" t="s">
        <v>733</v>
      </c>
    </row>
    <row r="13" spans="1:3" x14ac:dyDescent="0.3">
      <c r="A13" s="782"/>
      <c r="B13" s="796" t="s">
        <v>734</v>
      </c>
      <c r="C13" s="797" t="s">
        <v>734</v>
      </c>
    </row>
    <row r="14" spans="1:3" x14ac:dyDescent="0.3">
      <c r="A14" s="782"/>
      <c r="B14" s="796" t="s">
        <v>735</v>
      </c>
      <c r="C14" s="797" t="s">
        <v>735</v>
      </c>
    </row>
    <row r="15" spans="1:3" ht="21.75" customHeight="1" x14ac:dyDescent="0.3">
      <c r="A15" s="782"/>
      <c r="B15" s="796" t="s">
        <v>736</v>
      </c>
      <c r="C15" s="797" t="s">
        <v>736</v>
      </c>
    </row>
    <row r="16" spans="1:3" x14ac:dyDescent="0.3">
      <c r="A16" s="782"/>
      <c r="B16" s="796" t="s">
        <v>737</v>
      </c>
      <c r="C16" s="797" t="s">
        <v>738</v>
      </c>
    </row>
    <row r="17" spans="1:3" x14ac:dyDescent="0.3">
      <c r="A17" s="782"/>
      <c r="B17" s="796" t="s">
        <v>739</v>
      </c>
      <c r="C17" s="797" t="s">
        <v>740</v>
      </c>
    </row>
    <row r="18" spans="1:3" x14ac:dyDescent="0.3">
      <c r="A18" s="782"/>
      <c r="B18" s="796" t="s">
        <v>741</v>
      </c>
      <c r="C18" s="797" t="s">
        <v>742</v>
      </c>
    </row>
    <row r="19" spans="1:3" x14ac:dyDescent="0.3">
      <c r="A19" s="782"/>
      <c r="B19" s="796" t="s">
        <v>743</v>
      </c>
      <c r="C19" s="797" t="s">
        <v>743</v>
      </c>
    </row>
    <row r="20" spans="1:3" x14ac:dyDescent="0.3">
      <c r="A20" s="782"/>
      <c r="B20" s="796" t="s">
        <v>744</v>
      </c>
      <c r="C20" s="797" t="s">
        <v>744</v>
      </c>
    </row>
    <row r="21" spans="1:3" x14ac:dyDescent="0.3">
      <c r="A21" s="782"/>
      <c r="B21" s="796" t="s">
        <v>745</v>
      </c>
      <c r="C21" s="797" t="s">
        <v>745</v>
      </c>
    </row>
    <row r="22" spans="1:3" ht="23.25" customHeight="1" x14ac:dyDescent="0.3">
      <c r="A22" s="782"/>
      <c r="B22" s="796" t="s">
        <v>746</v>
      </c>
      <c r="C22" s="797" t="s">
        <v>747</v>
      </c>
    </row>
    <row r="23" spans="1:3" x14ac:dyDescent="0.3">
      <c r="A23" s="782"/>
      <c r="B23" s="796" t="s">
        <v>748</v>
      </c>
      <c r="C23" s="797" t="s">
        <v>748</v>
      </c>
    </row>
    <row r="24" spans="1:3" x14ac:dyDescent="0.3">
      <c r="A24" s="782"/>
      <c r="B24" s="796" t="s">
        <v>749</v>
      </c>
      <c r="C24" s="797" t="s">
        <v>750</v>
      </c>
    </row>
    <row r="25" spans="1:3" ht="12.6" thickBot="1" x14ac:dyDescent="0.35">
      <c r="A25" s="798"/>
      <c r="B25" s="799" t="s">
        <v>751</v>
      </c>
      <c r="C25" s="800"/>
    </row>
    <row r="26" spans="1:3" ht="13.2" thickTop="1" thickBot="1" x14ac:dyDescent="0.35">
      <c r="A26" s="786" t="s">
        <v>752</v>
      </c>
      <c r="B26" s="787"/>
      <c r="C26" s="788"/>
    </row>
    <row r="27" spans="1:3" ht="13.2" thickTop="1" thickBot="1" x14ac:dyDescent="0.35">
      <c r="A27" s="801"/>
      <c r="B27" s="802" t="s">
        <v>753</v>
      </c>
      <c r="C27" s="803"/>
    </row>
    <row r="28" spans="1:3" ht="13.2" thickTop="1" thickBot="1" x14ac:dyDescent="0.35">
      <c r="A28" s="786" t="s">
        <v>754</v>
      </c>
      <c r="B28" s="787"/>
      <c r="C28" s="788"/>
    </row>
    <row r="29" spans="1:3" ht="12.6" thickTop="1" x14ac:dyDescent="0.3">
      <c r="A29" s="789"/>
      <c r="B29" s="804" t="s">
        <v>755</v>
      </c>
      <c r="C29" s="805" t="s">
        <v>756</v>
      </c>
    </row>
    <row r="30" spans="1:3" x14ac:dyDescent="0.3">
      <c r="A30" s="782"/>
      <c r="B30" s="806" t="s">
        <v>757</v>
      </c>
      <c r="C30" s="807" t="s">
        <v>758</v>
      </c>
    </row>
    <row r="31" spans="1:3" x14ac:dyDescent="0.3">
      <c r="A31" s="782"/>
      <c r="B31" s="806" t="s">
        <v>759</v>
      </c>
      <c r="C31" s="807" t="s">
        <v>760</v>
      </c>
    </row>
    <row r="32" spans="1:3" x14ac:dyDescent="0.3">
      <c r="A32" s="782"/>
      <c r="B32" s="806" t="s">
        <v>761</v>
      </c>
      <c r="C32" s="807" t="s">
        <v>762</v>
      </c>
    </row>
    <row r="33" spans="1:3" x14ac:dyDescent="0.3">
      <c r="A33" s="782"/>
      <c r="B33" s="806" t="s">
        <v>763</v>
      </c>
      <c r="C33" s="807" t="s">
        <v>764</v>
      </c>
    </row>
    <row r="34" spans="1:3" x14ac:dyDescent="0.3">
      <c r="A34" s="782"/>
      <c r="B34" s="806" t="s">
        <v>765</v>
      </c>
      <c r="C34" s="807" t="s">
        <v>766</v>
      </c>
    </row>
    <row r="35" spans="1:3" x14ac:dyDescent="0.3">
      <c r="A35" s="782"/>
      <c r="B35" s="806" t="s">
        <v>767</v>
      </c>
      <c r="C35" s="807" t="s">
        <v>768</v>
      </c>
    </row>
    <row r="36" spans="1:3" x14ac:dyDescent="0.3">
      <c r="A36" s="782"/>
      <c r="B36" s="808" t="s">
        <v>769</v>
      </c>
      <c r="C36" s="809"/>
    </row>
    <row r="37" spans="1:3" ht="24.75" customHeight="1" x14ac:dyDescent="0.3">
      <c r="A37" s="782"/>
      <c r="B37" s="806" t="s">
        <v>770</v>
      </c>
      <c r="C37" s="807" t="s">
        <v>771</v>
      </c>
    </row>
    <row r="38" spans="1:3" ht="23.25" customHeight="1" x14ac:dyDescent="0.3">
      <c r="A38" s="782"/>
      <c r="B38" s="806" t="s">
        <v>772</v>
      </c>
      <c r="C38" s="807" t="s">
        <v>773</v>
      </c>
    </row>
    <row r="39" spans="1:3" ht="23.25" customHeight="1" x14ac:dyDescent="0.3">
      <c r="A39" s="782"/>
      <c r="B39" s="808" t="s">
        <v>774</v>
      </c>
      <c r="C39" s="810"/>
    </row>
    <row r="40" spans="1:3" ht="12" customHeight="1" x14ac:dyDescent="0.3">
      <c r="A40" s="782"/>
      <c r="B40" s="806" t="s">
        <v>775</v>
      </c>
      <c r="C40" s="807"/>
    </row>
    <row r="41" spans="1:3" ht="12.6" thickBot="1" x14ac:dyDescent="0.35">
      <c r="A41" s="786" t="s">
        <v>776</v>
      </c>
      <c r="B41" s="787"/>
      <c r="C41" s="788"/>
    </row>
    <row r="42" spans="1:3" ht="12.6" thickTop="1" x14ac:dyDescent="0.3">
      <c r="A42" s="789"/>
      <c r="B42" s="790" t="s">
        <v>777</v>
      </c>
      <c r="C42" s="791" t="s">
        <v>778</v>
      </c>
    </row>
    <row r="43" spans="1:3" x14ac:dyDescent="0.3">
      <c r="A43" s="782"/>
      <c r="B43" s="792" t="s">
        <v>779</v>
      </c>
      <c r="C43" s="793"/>
    </row>
    <row r="44" spans="1:3" ht="23.25" customHeight="1" thickBot="1" x14ac:dyDescent="0.35">
      <c r="A44" s="798"/>
      <c r="B44" s="811" t="s">
        <v>780</v>
      </c>
      <c r="C44" s="812" t="s">
        <v>781</v>
      </c>
    </row>
    <row r="45" spans="1:3" ht="11.25" customHeight="1" thickTop="1" thickBot="1" x14ac:dyDescent="0.35">
      <c r="A45" s="786" t="s">
        <v>782</v>
      </c>
      <c r="B45" s="787"/>
      <c r="C45" s="788"/>
    </row>
    <row r="46" spans="1:3" ht="26.25" customHeight="1" thickTop="1" x14ac:dyDescent="0.3">
      <c r="A46" s="782"/>
      <c r="B46" s="792" t="s">
        <v>783</v>
      </c>
      <c r="C46" s="793"/>
    </row>
    <row r="47" spans="1:3" ht="12.6" thickBot="1" x14ac:dyDescent="0.35">
      <c r="A47" s="786" t="s">
        <v>784</v>
      </c>
      <c r="B47" s="787"/>
      <c r="C47" s="788"/>
    </row>
    <row r="48" spans="1:3" ht="12.6" thickTop="1" x14ac:dyDescent="0.3">
      <c r="A48" s="789"/>
      <c r="B48" s="790" t="s">
        <v>785</v>
      </c>
      <c r="C48" s="791" t="s">
        <v>785</v>
      </c>
    </row>
    <row r="49" spans="1:3" ht="11.25" customHeight="1" x14ac:dyDescent="0.3">
      <c r="A49" s="782"/>
      <c r="B49" s="792" t="s">
        <v>786</v>
      </c>
      <c r="C49" s="793" t="s">
        <v>786</v>
      </c>
    </row>
    <row r="50" spans="1:3" x14ac:dyDescent="0.3">
      <c r="A50" s="782"/>
      <c r="B50" s="792" t="s">
        <v>787</v>
      </c>
      <c r="C50" s="793" t="s">
        <v>787</v>
      </c>
    </row>
    <row r="51" spans="1:3" ht="11.25" customHeight="1" x14ac:dyDescent="0.3">
      <c r="A51" s="782"/>
      <c r="B51" s="792" t="s">
        <v>788</v>
      </c>
      <c r="C51" s="793" t="s">
        <v>789</v>
      </c>
    </row>
    <row r="52" spans="1:3" ht="33.6" customHeight="1" x14ac:dyDescent="0.3">
      <c r="A52" s="782"/>
      <c r="B52" s="792" t="s">
        <v>790</v>
      </c>
      <c r="C52" s="793" t="s">
        <v>790</v>
      </c>
    </row>
    <row r="53" spans="1:3" ht="11.25" customHeight="1" x14ac:dyDescent="0.3">
      <c r="A53" s="782"/>
      <c r="B53" s="792" t="s">
        <v>791</v>
      </c>
      <c r="C53" s="793" t="s">
        <v>792</v>
      </c>
    </row>
    <row r="54" spans="1:3" ht="11.25" customHeight="1" thickBot="1" x14ac:dyDescent="0.35">
      <c r="A54" s="786" t="s">
        <v>793</v>
      </c>
      <c r="B54" s="787"/>
      <c r="C54" s="788"/>
    </row>
    <row r="55" spans="1:3" ht="12.6" thickTop="1" x14ac:dyDescent="0.3">
      <c r="A55" s="789"/>
      <c r="B55" s="790" t="s">
        <v>785</v>
      </c>
      <c r="C55" s="791" t="s">
        <v>785</v>
      </c>
    </row>
    <row r="56" spans="1:3" x14ac:dyDescent="0.3">
      <c r="A56" s="782"/>
      <c r="B56" s="792" t="s">
        <v>794</v>
      </c>
      <c r="C56" s="793" t="s">
        <v>794</v>
      </c>
    </row>
    <row r="57" spans="1:3" x14ac:dyDescent="0.3">
      <c r="A57" s="782"/>
      <c r="B57" s="792" t="s">
        <v>795</v>
      </c>
      <c r="C57" s="793" t="s">
        <v>796</v>
      </c>
    </row>
    <row r="58" spans="1:3" x14ac:dyDescent="0.3">
      <c r="A58" s="782"/>
      <c r="B58" s="792" t="s">
        <v>797</v>
      </c>
      <c r="C58" s="793" t="s">
        <v>797</v>
      </c>
    </row>
    <row r="59" spans="1:3" x14ac:dyDescent="0.3">
      <c r="A59" s="782"/>
      <c r="B59" s="792" t="s">
        <v>798</v>
      </c>
      <c r="C59" s="793" t="s">
        <v>798</v>
      </c>
    </row>
    <row r="60" spans="1:3" x14ac:dyDescent="0.3">
      <c r="A60" s="782"/>
      <c r="B60" s="792" t="s">
        <v>799</v>
      </c>
      <c r="C60" s="793" t="s">
        <v>799</v>
      </c>
    </row>
    <row r="61" spans="1:3" x14ac:dyDescent="0.3">
      <c r="A61" s="782"/>
      <c r="B61" s="792" t="s">
        <v>800</v>
      </c>
      <c r="C61" s="793" t="s">
        <v>801</v>
      </c>
    </row>
    <row r="62" spans="1:3" x14ac:dyDescent="0.3">
      <c r="A62" s="782"/>
      <c r="B62" s="792" t="s">
        <v>802</v>
      </c>
      <c r="C62" s="793" t="s">
        <v>802</v>
      </c>
    </row>
    <row r="63" spans="1:3" ht="12.6" thickBot="1" x14ac:dyDescent="0.35">
      <c r="A63" s="798"/>
      <c r="B63" s="811" t="s">
        <v>803</v>
      </c>
      <c r="C63" s="812" t="s">
        <v>803</v>
      </c>
    </row>
    <row r="64" spans="1:3" ht="11.25" customHeight="1" thickTop="1" x14ac:dyDescent="0.3">
      <c r="A64" s="813" t="s">
        <v>804</v>
      </c>
      <c r="B64" s="814"/>
      <c r="C64" s="815"/>
    </row>
    <row r="65" spans="1:3" ht="12.6" thickBot="1" x14ac:dyDescent="0.35">
      <c r="A65" s="798"/>
      <c r="B65" s="811" t="s">
        <v>805</v>
      </c>
      <c r="C65" s="812" t="s">
        <v>805</v>
      </c>
    </row>
    <row r="66" spans="1:3" ht="15.75" customHeight="1" thickTop="1" thickBot="1" x14ac:dyDescent="0.35">
      <c r="A66" s="786" t="s">
        <v>806</v>
      </c>
      <c r="B66" s="787"/>
      <c r="C66" s="788"/>
    </row>
    <row r="67" spans="1:3" ht="12.6" thickTop="1" x14ac:dyDescent="0.3">
      <c r="A67" s="789"/>
      <c r="B67" s="790" t="s">
        <v>807</v>
      </c>
      <c r="C67" s="791" t="s">
        <v>807</v>
      </c>
    </row>
    <row r="68" spans="1:3" x14ac:dyDescent="0.3">
      <c r="A68" s="782"/>
      <c r="B68" s="792" t="s">
        <v>808</v>
      </c>
      <c r="C68" s="793" t="s">
        <v>809</v>
      </c>
    </row>
    <row r="69" spans="1:3" x14ac:dyDescent="0.3">
      <c r="A69" s="782"/>
      <c r="B69" s="792" t="s">
        <v>810</v>
      </c>
      <c r="C69" s="793" t="s">
        <v>810</v>
      </c>
    </row>
    <row r="70" spans="1:3" ht="54.9" customHeight="1" x14ac:dyDescent="0.3">
      <c r="A70" s="782"/>
      <c r="B70" s="816" t="s">
        <v>811</v>
      </c>
      <c r="C70" s="817" t="s">
        <v>812</v>
      </c>
    </row>
    <row r="71" spans="1:3" ht="33.75" customHeight="1" x14ac:dyDescent="0.3">
      <c r="A71" s="782"/>
      <c r="B71" s="816" t="s">
        <v>813</v>
      </c>
      <c r="C71" s="817" t="s">
        <v>814</v>
      </c>
    </row>
    <row r="72" spans="1:3" ht="15.75" customHeight="1" x14ac:dyDescent="0.3">
      <c r="A72" s="782"/>
      <c r="B72" s="816" t="s">
        <v>815</v>
      </c>
      <c r="C72" s="817" t="s">
        <v>816</v>
      </c>
    </row>
    <row r="73" spans="1:3" x14ac:dyDescent="0.3">
      <c r="A73" s="782"/>
      <c r="B73" s="792" t="s">
        <v>817</v>
      </c>
      <c r="C73" s="793" t="s">
        <v>817</v>
      </c>
    </row>
    <row r="74" spans="1:3" ht="12.6" thickBot="1" x14ac:dyDescent="0.35">
      <c r="A74" s="798"/>
      <c r="B74" s="811" t="s">
        <v>818</v>
      </c>
      <c r="C74" s="812" t="s">
        <v>818</v>
      </c>
    </row>
    <row r="75" spans="1:3" ht="12.6" thickTop="1" x14ac:dyDescent="0.3">
      <c r="A75" s="813" t="s">
        <v>819</v>
      </c>
      <c r="B75" s="814"/>
      <c r="C75" s="815"/>
    </row>
    <row r="76" spans="1:3" x14ac:dyDescent="0.3">
      <c r="A76" s="782"/>
      <c r="B76" s="792" t="s">
        <v>805</v>
      </c>
      <c r="C76" s="793"/>
    </row>
    <row r="77" spans="1:3" x14ac:dyDescent="0.3">
      <c r="A77" s="782"/>
      <c r="B77" s="792" t="s">
        <v>820</v>
      </c>
      <c r="C77" s="793"/>
    </row>
    <row r="78" spans="1:3" x14ac:dyDescent="0.3">
      <c r="A78" s="782"/>
      <c r="B78" s="792" t="s">
        <v>821</v>
      </c>
      <c r="C78" s="793"/>
    </row>
    <row r="79" spans="1:3" x14ac:dyDescent="0.3">
      <c r="A79" s="813" t="s">
        <v>822</v>
      </c>
      <c r="B79" s="814"/>
      <c r="C79" s="815"/>
    </row>
    <row r="80" spans="1:3" x14ac:dyDescent="0.3">
      <c r="A80" s="782"/>
      <c r="B80" s="792" t="s">
        <v>805</v>
      </c>
      <c r="C80" s="793"/>
    </row>
    <row r="81" spans="1:3" x14ac:dyDescent="0.3">
      <c r="A81" s="782"/>
      <c r="B81" s="792" t="s">
        <v>823</v>
      </c>
      <c r="C81" s="793"/>
    </row>
    <row r="82" spans="1:3" ht="79.5" customHeight="1" x14ac:dyDescent="0.3">
      <c r="A82" s="782"/>
      <c r="B82" s="792" t="s">
        <v>824</v>
      </c>
      <c r="C82" s="793"/>
    </row>
    <row r="83" spans="1:3" ht="53.25" customHeight="1" x14ac:dyDescent="0.3">
      <c r="A83" s="782"/>
      <c r="B83" s="792" t="s">
        <v>825</v>
      </c>
      <c r="C83" s="793"/>
    </row>
    <row r="84" spans="1:3" x14ac:dyDescent="0.3">
      <c r="A84" s="782"/>
      <c r="B84" s="792" t="s">
        <v>826</v>
      </c>
      <c r="C84" s="793"/>
    </row>
    <row r="85" spans="1:3" x14ac:dyDescent="0.3">
      <c r="A85" s="782"/>
      <c r="B85" s="792" t="s">
        <v>827</v>
      </c>
      <c r="C85" s="793"/>
    </row>
    <row r="86" spans="1:3" x14ac:dyDescent="0.3">
      <c r="A86" s="782"/>
      <c r="B86" s="792" t="s">
        <v>828</v>
      </c>
      <c r="C86" s="793"/>
    </row>
    <row r="87" spans="1:3" x14ac:dyDescent="0.3">
      <c r="A87" s="813" t="s">
        <v>829</v>
      </c>
      <c r="B87" s="814"/>
      <c r="C87" s="815"/>
    </row>
    <row r="88" spans="1:3" x14ac:dyDescent="0.3">
      <c r="A88" s="782"/>
      <c r="B88" s="792" t="s">
        <v>805</v>
      </c>
      <c r="C88" s="793"/>
    </row>
    <row r="89" spans="1:3" x14ac:dyDescent="0.3">
      <c r="A89" s="782"/>
      <c r="B89" s="792" t="s">
        <v>830</v>
      </c>
      <c r="C89" s="793"/>
    </row>
    <row r="90" spans="1:3" ht="12" customHeight="1" x14ac:dyDescent="0.3">
      <c r="A90" s="782"/>
      <c r="B90" s="792" t="s">
        <v>831</v>
      </c>
      <c r="C90" s="793"/>
    </row>
    <row r="91" spans="1:3" x14ac:dyDescent="0.3">
      <c r="A91" s="782"/>
      <c r="B91" s="792" t="s">
        <v>832</v>
      </c>
      <c r="C91" s="793"/>
    </row>
    <row r="92" spans="1:3" ht="24.75" customHeight="1" x14ac:dyDescent="0.3">
      <c r="A92" s="782"/>
      <c r="B92" s="818" t="s">
        <v>833</v>
      </c>
      <c r="C92" s="819"/>
    </row>
    <row r="93" spans="1:3" ht="24" customHeight="1" x14ac:dyDescent="0.3">
      <c r="A93" s="782"/>
      <c r="B93" s="818" t="s">
        <v>834</v>
      </c>
      <c r="C93" s="819"/>
    </row>
    <row r="94" spans="1:3" ht="13.5" customHeight="1" x14ac:dyDescent="0.3">
      <c r="A94" s="782"/>
      <c r="B94" s="820" t="s">
        <v>835</v>
      </c>
      <c r="C94" s="821"/>
    </row>
    <row r="95" spans="1:3" ht="11.25" customHeight="1" thickBot="1" x14ac:dyDescent="0.35">
      <c r="A95" s="822" t="s">
        <v>836</v>
      </c>
      <c r="B95" s="823"/>
      <c r="C95" s="824"/>
    </row>
    <row r="96" spans="1:3" ht="13.2" thickTop="1" thickBot="1" x14ac:dyDescent="0.35">
      <c r="A96" s="825" t="s">
        <v>837</v>
      </c>
      <c r="B96" s="825"/>
      <c r="C96" s="825"/>
    </row>
    <row r="97" spans="1:3" x14ac:dyDescent="0.3">
      <c r="A97" s="826">
        <v>2</v>
      </c>
      <c r="B97" s="827" t="s">
        <v>437</v>
      </c>
      <c r="C97" s="827" t="s">
        <v>838</v>
      </c>
    </row>
    <row r="98" spans="1:3" x14ac:dyDescent="0.3">
      <c r="A98" s="828">
        <v>3</v>
      </c>
      <c r="B98" s="829" t="s">
        <v>438</v>
      </c>
      <c r="C98" s="830" t="s">
        <v>839</v>
      </c>
    </row>
    <row r="99" spans="1:3" x14ac:dyDescent="0.3">
      <c r="A99" s="828">
        <v>4</v>
      </c>
      <c r="B99" s="829" t="s">
        <v>439</v>
      </c>
      <c r="C99" s="830" t="s">
        <v>840</v>
      </c>
    </row>
    <row r="100" spans="1:3" ht="11.25" customHeight="1" x14ac:dyDescent="0.3">
      <c r="A100" s="828">
        <v>5</v>
      </c>
      <c r="B100" s="829" t="s">
        <v>440</v>
      </c>
      <c r="C100" s="830" t="s">
        <v>841</v>
      </c>
    </row>
    <row r="101" spans="1:3" ht="12" customHeight="1" x14ac:dyDescent="0.3">
      <c r="A101" s="828">
        <v>6</v>
      </c>
      <c r="B101" s="829" t="s">
        <v>441</v>
      </c>
      <c r="C101" s="830" t="s">
        <v>842</v>
      </c>
    </row>
    <row r="102" spans="1:3" ht="12" customHeight="1" x14ac:dyDescent="0.3">
      <c r="A102" s="828">
        <v>7</v>
      </c>
      <c r="B102" s="829" t="s">
        <v>442</v>
      </c>
      <c r="C102" s="830" t="s">
        <v>843</v>
      </c>
    </row>
    <row r="103" spans="1:3" x14ac:dyDescent="0.3">
      <c r="A103" s="828">
        <v>8</v>
      </c>
      <c r="B103" s="829" t="s">
        <v>447</v>
      </c>
      <c r="C103" s="830" t="s">
        <v>844</v>
      </c>
    </row>
    <row r="104" spans="1:3" ht="11.25" customHeight="1" x14ac:dyDescent="0.3">
      <c r="A104" s="813" t="s">
        <v>845</v>
      </c>
      <c r="B104" s="814"/>
      <c r="C104" s="815"/>
    </row>
    <row r="105" spans="1:3" ht="12" customHeight="1" x14ac:dyDescent="0.3">
      <c r="A105" s="782"/>
      <c r="B105" s="792" t="s">
        <v>805</v>
      </c>
      <c r="C105" s="793"/>
    </row>
    <row r="106" spans="1:3" x14ac:dyDescent="0.3">
      <c r="A106" s="813" t="s">
        <v>846</v>
      </c>
      <c r="B106" s="814"/>
      <c r="C106" s="815"/>
    </row>
    <row r="107" spans="1:3" ht="12" customHeight="1" x14ac:dyDescent="0.3">
      <c r="A107" s="782"/>
      <c r="B107" s="792" t="s">
        <v>847</v>
      </c>
      <c r="C107" s="793"/>
    </row>
    <row r="108" spans="1:3" x14ac:dyDescent="0.3">
      <c r="A108" s="782"/>
      <c r="B108" s="792" t="s">
        <v>848</v>
      </c>
      <c r="C108" s="793"/>
    </row>
    <row r="109" spans="1:3" x14ac:dyDescent="0.3">
      <c r="A109" s="782"/>
      <c r="B109" s="792" t="s">
        <v>849</v>
      </c>
      <c r="C109" s="793"/>
    </row>
    <row r="110" spans="1:3" x14ac:dyDescent="0.3">
      <c r="A110" s="831" t="s">
        <v>850</v>
      </c>
      <c r="B110" s="831"/>
      <c r="C110" s="831"/>
    </row>
    <row r="111" spans="1:3" x14ac:dyDescent="0.3">
      <c r="A111" s="832" t="s">
        <v>722</v>
      </c>
      <c r="B111" s="832"/>
      <c r="C111" s="832"/>
    </row>
    <row r="112" spans="1:3" x14ac:dyDescent="0.3">
      <c r="A112" s="833">
        <v>1</v>
      </c>
      <c r="B112" s="834" t="s">
        <v>851</v>
      </c>
      <c r="C112" s="835"/>
    </row>
    <row r="113" spans="1:3" x14ac:dyDescent="0.3">
      <c r="A113" s="833">
        <v>2</v>
      </c>
      <c r="B113" s="836" t="s">
        <v>852</v>
      </c>
      <c r="C113" s="837"/>
    </row>
    <row r="114" spans="1:3" x14ac:dyDescent="0.3">
      <c r="A114" s="833">
        <v>3</v>
      </c>
      <c r="B114" s="834" t="s">
        <v>853</v>
      </c>
      <c r="C114" s="835"/>
    </row>
    <row r="115" spans="1:3" x14ac:dyDescent="0.3">
      <c r="A115" s="833">
        <v>4</v>
      </c>
      <c r="B115" s="834" t="s">
        <v>854</v>
      </c>
      <c r="C115" s="835"/>
    </row>
    <row r="116" spans="1:3" x14ac:dyDescent="0.3">
      <c r="A116" s="833">
        <v>5</v>
      </c>
      <c r="B116" s="838" t="s">
        <v>855</v>
      </c>
      <c r="C116" s="839"/>
    </row>
    <row r="117" spans="1:3" x14ac:dyDescent="0.3">
      <c r="A117" s="833">
        <v>6</v>
      </c>
      <c r="B117" s="834" t="s">
        <v>856</v>
      </c>
      <c r="C117" s="835"/>
    </row>
    <row r="118" spans="1:3" x14ac:dyDescent="0.3">
      <c r="A118" s="833">
        <v>7</v>
      </c>
      <c r="B118" s="834" t="s">
        <v>857</v>
      </c>
      <c r="C118" s="835"/>
    </row>
    <row r="119" spans="1:3" x14ac:dyDescent="0.3">
      <c r="A119" s="840">
        <v>8</v>
      </c>
      <c r="B119" s="841" t="s">
        <v>858</v>
      </c>
      <c r="C119" s="842" t="s">
        <v>859</v>
      </c>
    </row>
    <row r="120" spans="1:3" ht="24" x14ac:dyDescent="0.3">
      <c r="A120" s="833">
        <v>9.01</v>
      </c>
      <c r="B120" s="841" t="s">
        <v>569</v>
      </c>
      <c r="C120" s="843" t="s">
        <v>860</v>
      </c>
    </row>
    <row r="121" spans="1:3" ht="36" x14ac:dyDescent="0.3">
      <c r="A121" s="833">
        <v>9.02</v>
      </c>
      <c r="B121" s="841" t="s">
        <v>570</v>
      </c>
      <c r="C121" s="843" t="s">
        <v>861</v>
      </c>
    </row>
    <row r="122" spans="1:3" x14ac:dyDescent="0.3">
      <c r="A122" s="833">
        <v>9.0299999999999994</v>
      </c>
      <c r="B122" s="843" t="s">
        <v>862</v>
      </c>
      <c r="C122" s="843" t="s">
        <v>863</v>
      </c>
    </row>
    <row r="123" spans="1:3" x14ac:dyDescent="0.3">
      <c r="A123" s="833">
        <v>9.0399999999999991</v>
      </c>
      <c r="B123" s="841" t="s">
        <v>572</v>
      </c>
      <c r="C123" s="843" t="s">
        <v>864</v>
      </c>
    </row>
    <row r="124" spans="1:3" x14ac:dyDescent="0.3">
      <c r="A124" s="833">
        <v>9.0500000000000007</v>
      </c>
      <c r="B124" s="841" t="s">
        <v>573</v>
      </c>
      <c r="C124" s="843" t="s">
        <v>865</v>
      </c>
    </row>
    <row r="125" spans="1:3" ht="24" x14ac:dyDescent="0.3">
      <c r="A125" s="833">
        <v>9.06</v>
      </c>
      <c r="B125" s="841" t="s">
        <v>574</v>
      </c>
      <c r="C125" s="843" t="s">
        <v>866</v>
      </c>
    </row>
    <row r="126" spans="1:3" x14ac:dyDescent="0.3">
      <c r="A126" s="833">
        <v>9.07</v>
      </c>
      <c r="B126" s="844" t="s">
        <v>575</v>
      </c>
      <c r="C126" s="843" t="s">
        <v>867</v>
      </c>
    </row>
    <row r="127" spans="1:3" ht="24" x14ac:dyDescent="0.3">
      <c r="A127" s="833">
        <v>9.08</v>
      </c>
      <c r="B127" s="841" t="s">
        <v>576</v>
      </c>
      <c r="C127" s="843" t="s">
        <v>868</v>
      </c>
    </row>
    <row r="128" spans="1:3" ht="24" x14ac:dyDescent="0.3">
      <c r="A128" s="833">
        <v>9.09</v>
      </c>
      <c r="B128" s="841" t="s">
        <v>577</v>
      </c>
      <c r="C128" s="843" t="s">
        <v>869</v>
      </c>
    </row>
    <row r="129" spans="1:3" x14ac:dyDescent="0.3">
      <c r="A129" s="845">
        <v>9.1</v>
      </c>
      <c r="B129" s="841" t="s">
        <v>578</v>
      </c>
      <c r="C129" s="843" t="s">
        <v>870</v>
      </c>
    </row>
    <row r="130" spans="1:3" x14ac:dyDescent="0.3">
      <c r="A130" s="833">
        <v>9.11</v>
      </c>
      <c r="B130" s="841" t="s">
        <v>579</v>
      </c>
      <c r="C130" s="843" t="s">
        <v>871</v>
      </c>
    </row>
    <row r="131" spans="1:3" x14ac:dyDescent="0.3">
      <c r="A131" s="833">
        <v>9.1199999999999992</v>
      </c>
      <c r="B131" s="841" t="s">
        <v>580</v>
      </c>
      <c r="C131" s="843" t="s">
        <v>872</v>
      </c>
    </row>
    <row r="132" spans="1:3" x14ac:dyDescent="0.3">
      <c r="A132" s="833">
        <v>9.1300000000000008</v>
      </c>
      <c r="B132" s="841" t="s">
        <v>581</v>
      </c>
      <c r="C132" s="843" t="s">
        <v>873</v>
      </c>
    </row>
    <row r="133" spans="1:3" x14ac:dyDescent="0.3">
      <c r="A133" s="833">
        <v>9.14</v>
      </c>
      <c r="B133" s="841" t="s">
        <v>582</v>
      </c>
      <c r="C133" s="843" t="s">
        <v>874</v>
      </c>
    </row>
    <row r="134" spans="1:3" x14ac:dyDescent="0.3">
      <c r="A134" s="833">
        <v>9.15</v>
      </c>
      <c r="B134" s="841" t="s">
        <v>583</v>
      </c>
      <c r="C134" s="843" t="s">
        <v>875</v>
      </c>
    </row>
    <row r="135" spans="1:3" x14ac:dyDescent="0.3">
      <c r="A135" s="833">
        <v>9.16</v>
      </c>
      <c r="B135" s="841" t="s">
        <v>584</v>
      </c>
      <c r="C135" s="843" t="s">
        <v>876</v>
      </c>
    </row>
    <row r="136" spans="1:3" x14ac:dyDescent="0.3">
      <c r="A136" s="833">
        <v>9.17</v>
      </c>
      <c r="B136" s="843" t="s">
        <v>586</v>
      </c>
      <c r="C136" s="843" t="s">
        <v>877</v>
      </c>
    </row>
    <row r="137" spans="1:3" ht="24" x14ac:dyDescent="0.3">
      <c r="A137" s="833">
        <v>9.18</v>
      </c>
      <c r="B137" s="841" t="s">
        <v>587</v>
      </c>
      <c r="C137" s="843" t="s">
        <v>878</v>
      </c>
    </row>
    <row r="138" spans="1:3" x14ac:dyDescent="0.3">
      <c r="A138" s="833">
        <v>9.19</v>
      </c>
      <c r="B138" s="841" t="s">
        <v>588</v>
      </c>
      <c r="C138" s="843" t="s">
        <v>879</v>
      </c>
    </row>
    <row r="139" spans="1:3" x14ac:dyDescent="0.3">
      <c r="A139" s="845">
        <v>9.1999999999999993</v>
      </c>
      <c r="B139" s="841" t="s">
        <v>589</v>
      </c>
      <c r="C139" s="843" t="s">
        <v>880</v>
      </c>
    </row>
    <row r="140" spans="1:3" x14ac:dyDescent="0.3">
      <c r="A140" s="833">
        <v>9.2100000000000009</v>
      </c>
      <c r="B140" s="841" t="s">
        <v>590</v>
      </c>
      <c r="C140" s="843" t="s">
        <v>881</v>
      </c>
    </row>
    <row r="141" spans="1:3" x14ac:dyDescent="0.3">
      <c r="A141" s="833">
        <v>9.2200000000000006</v>
      </c>
      <c r="B141" s="841" t="s">
        <v>591</v>
      </c>
      <c r="C141" s="843" t="s">
        <v>882</v>
      </c>
    </row>
    <row r="142" spans="1:3" ht="24" x14ac:dyDescent="0.3">
      <c r="A142" s="833">
        <v>9.23</v>
      </c>
      <c r="B142" s="841" t="s">
        <v>592</v>
      </c>
      <c r="C142" s="843" t="s">
        <v>883</v>
      </c>
    </row>
    <row r="143" spans="1:3" ht="24" x14ac:dyDescent="0.3">
      <c r="A143" s="833">
        <v>9.24</v>
      </c>
      <c r="B143" s="841" t="s">
        <v>593</v>
      </c>
      <c r="C143" s="843" t="s">
        <v>884</v>
      </c>
    </row>
    <row r="144" spans="1:3" x14ac:dyDescent="0.3">
      <c r="A144" s="833">
        <v>9.2500000000000107</v>
      </c>
      <c r="B144" s="841" t="s">
        <v>202</v>
      </c>
      <c r="C144" s="843" t="s">
        <v>885</v>
      </c>
    </row>
    <row r="145" spans="1:3" ht="24" x14ac:dyDescent="0.3">
      <c r="A145" s="833">
        <v>9.2600000000000193</v>
      </c>
      <c r="B145" s="841" t="s">
        <v>886</v>
      </c>
      <c r="C145" s="846" t="s">
        <v>887</v>
      </c>
    </row>
    <row r="146" spans="1:3" s="847" customFormat="1" ht="24" x14ac:dyDescent="0.3">
      <c r="A146" s="833">
        <v>9.2700000000000298</v>
      </c>
      <c r="B146" s="841" t="s">
        <v>80</v>
      </c>
      <c r="C146" s="846" t="s">
        <v>888</v>
      </c>
    </row>
    <row r="147" spans="1:3" s="847" customFormat="1" x14ac:dyDescent="0.3">
      <c r="A147" s="782"/>
      <c r="B147" s="848" t="s">
        <v>889</v>
      </c>
      <c r="C147" s="849"/>
    </row>
    <row r="148" spans="1:3" s="847" customFormat="1" x14ac:dyDescent="0.3">
      <c r="A148" s="840">
        <v>1</v>
      </c>
      <c r="B148" s="792" t="s">
        <v>890</v>
      </c>
      <c r="C148" s="793"/>
    </row>
    <row r="149" spans="1:3" s="847" customFormat="1" x14ac:dyDescent="0.3">
      <c r="A149" s="840">
        <v>2</v>
      </c>
      <c r="B149" s="792" t="s">
        <v>891</v>
      </c>
      <c r="C149" s="793"/>
    </row>
    <row r="150" spans="1:3" s="847" customFormat="1" x14ac:dyDescent="0.3">
      <c r="A150" s="840">
        <v>3</v>
      </c>
      <c r="B150" s="792" t="s">
        <v>892</v>
      </c>
      <c r="C150" s="793"/>
    </row>
    <row r="151" spans="1:3" s="847" customFormat="1" x14ac:dyDescent="0.3">
      <c r="A151" s="782"/>
      <c r="B151" s="848" t="s">
        <v>893</v>
      </c>
      <c r="C151" s="849"/>
    </row>
    <row r="152" spans="1:3" s="847" customFormat="1" x14ac:dyDescent="0.3">
      <c r="A152" s="840">
        <v>1</v>
      </c>
      <c r="B152" s="850" t="s">
        <v>894</v>
      </c>
      <c r="C152" s="851"/>
    </row>
    <row r="153" spans="1:3" s="847" customFormat="1" x14ac:dyDescent="0.3">
      <c r="A153" s="840">
        <v>2</v>
      </c>
      <c r="B153" s="841" t="s">
        <v>568</v>
      </c>
      <c r="C153" s="842" t="s">
        <v>895</v>
      </c>
    </row>
    <row r="154" spans="1:3" ht="24" x14ac:dyDescent="0.3">
      <c r="A154" s="840">
        <v>3</v>
      </c>
      <c r="B154" s="841" t="s">
        <v>558</v>
      </c>
      <c r="C154" s="842" t="s">
        <v>896</v>
      </c>
    </row>
    <row r="155" spans="1:3" x14ac:dyDescent="0.3">
      <c r="A155" s="840">
        <v>4</v>
      </c>
      <c r="B155" s="841" t="s">
        <v>559</v>
      </c>
      <c r="C155" s="841" t="s">
        <v>897</v>
      </c>
    </row>
    <row r="156" spans="1:3" ht="24.9" customHeight="1" x14ac:dyDescent="0.3">
      <c r="A156" s="782"/>
      <c r="B156" s="848" t="s">
        <v>898</v>
      </c>
      <c r="C156" s="849"/>
    </row>
    <row r="157" spans="1:3" ht="24" x14ac:dyDescent="0.3">
      <c r="A157" s="840"/>
      <c r="B157" s="841" t="s">
        <v>899</v>
      </c>
      <c r="C157" s="852" t="s">
        <v>900</v>
      </c>
    </row>
    <row r="158" spans="1:3" x14ac:dyDescent="0.3">
      <c r="A158" s="782"/>
      <c r="B158" s="848" t="s">
        <v>901</v>
      </c>
      <c r="C158" s="849"/>
    </row>
    <row r="159" spans="1:3" ht="39" customHeight="1" x14ac:dyDescent="0.3">
      <c r="A159" s="782"/>
      <c r="B159" s="792" t="s">
        <v>902</v>
      </c>
      <c r="C159" s="793"/>
    </row>
    <row r="160" spans="1:3" x14ac:dyDescent="0.3">
      <c r="A160" s="782" t="s">
        <v>903</v>
      </c>
      <c r="B160" s="853" t="s">
        <v>613</v>
      </c>
      <c r="C160" s="854" t="s">
        <v>904</v>
      </c>
    </row>
    <row r="161" spans="1:3" x14ac:dyDescent="0.3">
      <c r="A161" s="782" t="s">
        <v>337</v>
      </c>
      <c r="B161" s="855" t="s">
        <v>614</v>
      </c>
      <c r="C161" s="842" t="s">
        <v>905</v>
      </c>
    </row>
    <row r="162" spans="1:3" ht="24" x14ac:dyDescent="0.3">
      <c r="A162" s="782" t="s">
        <v>345</v>
      </c>
      <c r="B162" s="854" t="s">
        <v>615</v>
      </c>
      <c r="C162" s="842" t="s">
        <v>906</v>
      </c>
    </row>
    <row r="163" spans="1:3" x14ac:dyDescent="0.3">
      <c r="A163" s="782" t="s">
        <v>907</v>
      </c>
      <c r="B163" s="855" t="s">
        <v>616</v>
      </c>
      <c r="C163" s="856" t="s">
        <v>908</v>
      </c>
    </row>
    <row r="164" spans="1:3" ht="24" x14ac:dyDescent="0.3">
      <c r="A164" s="782" t="s">
        <v>909</v>
      </c>
      <c r="B164" s="855" t="s">
        <v>617</v>
      </c>
      <c r="C164" s="857" t="s">
        <v>910</v>
      </c>
    </row>
    <row r="165" spans="1:3" ht="24" x14ac:dyDescent="0.3">
      <c r="A165" s="782" t="s">
        <v>354</v>
      </c>
      <c r="B165" s="855" t="s">
        <v>618</v>
      </c>
      <c r="C165" s="857" t="s">
        <v>911</v>
      </c>
    </row>
    <row r="166" spans="1:3" ht="24" x14ac:dyDescent="0.3">
      <c r="A166" s="782" t="s">
        <v>912</v>
      </c>
      <c r="B166" s="858" t="s">
        <v>619</v>
      </c>
      <c r="C166" s="859" t="s">
        <v>913</v>
      </c>
    </row>
    <row r="167" spans="1:3" ht="24" x14ac:dyDescent="0.3">
      <c r="A167" s="782" t="s">
        <v>914</v>
      </c>
      <c r="B167" s="858" t="s">
        <v>620</v>
      </c>
      <c r="C167" s="857" t="s">
        <v>915</v>
      </c>
    </row>
    <row r="168" spans="1:3" ht="26.4" customHeight="1" x14ac:dyDescent="0.3">
      <c r="A168" s="782" t="s">
        <v>916</v>
      </c>
      <c r="B168" s="858" t="s">
        <v>621</v>
      </c>
      <c r="C168" s="859" t="s">
        <v>917</v>
      </c>
    </row>
    <row r="169" spans="1:3" x14ac:dyDescent="0.3">
      <c r="A169" s="782" t="s">
        <v>918</v>
      </c>
      <c r="B169" s="843" t="s">
        <v>622</v>
      </c>
      <c r="C169" s="859" t="s">
        <v>919</v>
      </c>
    </row>
    <row r="170" spans="1:3" ht="24" x14ac:dyDescent="0.3">
      <c r="A170" s="782" t="s">
        <v>920</v>
      </c>
      <c r="B170" s="858" t="s">
        <v>623</v>
      </c>
      <c r="C170" s="860" t="s">
        <v>921</v>
      </c>
    </row>
    <row r="171" spans="1:3" x14ac:dyDescent="0.3">
      <c r="A171" s="782" t="s">
        <v>922</v>
      </c>
      <c r="B171" s="861" t="s">
        <v>624</v>
      </c>
      <c r="C171" s="854" t="s">
        <v>923</v>
      </c>
    </row>
    <row r="172" spans="1:3" ht="24" x14ac:dyDescent="0.3">
      <c r="A172" s="782"/>
      <c r="B172" s="857" t="s">
        <v>924</v>
      </c>
      <c r="C172" s="843" t="s">
        <v>925</v>
      </c>
    </row>
    <row r="173" spans="1:3" ht="24" x14ac:dyDescent="0.3">
      <c r="A173" s="782"/>
      <c r="B173" s="857" t="s">
        <v>926</v>
      </c>
      <c r="C173" s="843" t="s">
        <v>927</v>
      </c>
    </row>
    <row r="174" spans="1:3" ht="24" x14ac:dyDescent="0.3">
      <c r="A174" s="782"/>
      <c r="B174" s="857" t="s">
        <v>928</v>
      </c>
      <c r="C174" s="843" t="s">
        <v>929</v>
      </c>
    </row>
    <row r="175" spans="1:3" x14ac:dyDescent="0.3">
      <c r="A175" s="782"/>
      <c r="B175" s="848" t="s">
        <v>930</v>
      </c>
      <c r="C175" s="849"/>
    </row>
    <row r="176" spans="1:3" x14ac:dyDescent="0.3">
      <c r="A176" s="782"/>
      <c r="B176" s="792" t="s">
        <v>931</v>
      </c>
      <c r="C176" s="793"/>
    </row>
    <row r="177" spans="1:3" x14ac:dyDescent="0.3">
      <c r="A177" s="840">
        <v>1</v>
      </c>
      <c r="B177" s="843" t="s">
        <v>640</v>
      </c>
      <c r="C177" s="843" t="s">
        <v>640</v>
      </c>
    </row>
    <row r="178" spans="1:3" ht="24" x14ac:dyDescent="0.3">
      <c r="A178" s="840">
        <v>2</v>
      </c>
      <c r="B178" s="843" t="s">
        <v>932</v>
      </c>
      <c r="C178" s="843" t="s">
        <v>933</v>
      </c>
    </row>
    <row r="179" spans="1:3" x14ac:dyDescent="0.3">
      <c r="A179" s="840">
        <v>3</v>
      </c>
      <c r="B179" s="843" t="s">
        <v>642</v>
      </c>
      <c r="C179" s="843" t="s">
        <v>934</v>
      </c>
    </row>
    <row r="180" spans="1:3" ht="24" x14ac:dyDescent="0.3">
      <c r="A180" s="840">
        <v>4</v>
      </c>
      <c r="B180" s="843" t="s">
        <v>643</v>
      </c>
      <c r="C180" s="843" t="s">
        <v>935</v>
      </c>
    </row>
    <row r="181" spans="1:3" ht="24" x14ac:dyDescent="0.3">
      <c r="A181" s="840">
        <v>5</v>
      </c>
      <c r="B181" s="843" t="s">
        <v>644</v>
      </c>
      <c r="C181" s="843" t="s">
        <v>936</v>
      </c>
    </row>
    <row r="182" spans="1:3" ht="48" x14ac:dyDescent="0.3">
      <c r="A182" s="840">
        <v>6</v>
      </c>
      <c r="B182" s="843" t="s">
        <v>645</v>
      </c>
      <c r="C182" s="843" t="s">
        <v>937</v>
      </c>
    </row>
    <row r="183" spans="1:3" x14ac:dyDescent="0.3">
      <c r="A183" s="782"/>
      <c r="B183" s="848" t="s">
        <v>938</v>
      </c>
      <c r="C183" s="849"/>
    </row>
    <row r="184" spans="1:3" x14ac:dyDescent="0.3">
      <c r="A184" s="782"/>
      <c r="B184" s="862" t="s">
        <v>939</v>
      </c>
      <c r="C184" s="850"/>
    </row>
    <row r="185" spans="1:3" ht="24" x14ac:dyDescent="0.3">
      <c r="A185" s="782">
        <v>1.1000000000000001</v>
      </c>
      <c r="B185" s="863" t="s">
        <v>655</v>
      </c>
      <c r="C185" s="843" t="s">
        <v>940</v>
      </c>
    </row>
    <row r="186" spans="1:3" ht="50.1" customHeight="1" x14ac:dyDescent="0.3">
      <c r="A186" s="782" t="s">
        <v>295</v>
      </c>
      <c r="B186" s="864" t="s">
        <v>656</v>
      </c>
      <c r="C186" s="843" t="s">
        <v>941</v>
      </c>
    </row>
    <row r="187" spans="1:3" x14ac:dyDescent="0.3">
      <c r="A187" s="782" t="s">
        <v>657</v>
      </c>
      <c r="B187" s="865" t="s">
        <v>658</v>
      </c>
      <c r="C187" s="783" t="s">
        <v>942</v>
      </c>
    </row>
    <row r="188" spans="1:3" x14ac:dyDescent="0.3">
      <c r="A188" s="782" t="s">
        <v>659</v>
      </c>
      <c r="B188" s="865" t="s">
        <v>660</v>
      </c>
      <c r="C188" s="783"/>
    </row>
    <row r="189" spans="1:3" x14ac:dyDescent="0.3">
      <c r="A189" s="782" t="s">
        <v>661</v>
      </c>
      <c r="B189" s="865" t="s">
        <v>662</v>
      </c>
      <c r="C189" s="783"/>
    </row>
    <row r="190" spans="1:3" x14ac:dyDescent="0.3">
      <c r="A190" s="782" t="s">
        <v>663</v>
      </c>
      <c r="B190" s="865" t="s">
        <v>664</v>
      </c>
      <c r="C190" s="783"/>
    </row>
    <row r="191" spans="1:3" x14ac:dyDescent="0.3">
      <c r="A191" s="782">
        <v>1.2</v>
      </c>
      <c r="B191" s="866" t="s">
        <v>665</v>
      </c>
      <c r="C191" s="841" t="s">
        <v>943</v>
      </c>
    </row>
    <row r="192" spans="1:3" ht="24" x14ac:dyDescent="0.3">
      <c r="A192" s="782" t="s">
        <v>667</v>
      </c>
      <c r="B192" s="867" t="s">
        <v>668</v>
      </c>
      <c r="C192" s="868" t="s">
        <v>944</v>
      </c>
    </row>
    <row r="193" spans="1:4" ht="24" x14ac:dyDescent="0.3">
      <c r="A193" s="782" t="s">
        <v>669</v>
      </c>
      <c r="B193" s="869" t="s">
        <v>670</v>
      </c>
      <c r="C193" s="868" t="s">
        <v>945</v>
      </c>
    </row>
    <row r="194" spans="1:4" ht="26.1" customHeight="1" x14ac:dyDescent="0.3">
      <c r="A194" s="782" t="s">
        <v>671</v>
      </c>
      <c r="B194" s="870" t="s">
        <v>672</v>
      </c>
      <c r="C194" s="841" t="s">
        <v>946</v>
      </c>
    </row>
    <row r="195" spans="1:4" ht="24" x14ac:dyDescent="0.3">
      <c r="A195" s="782" t="s">
        <v>673</v>
      </c>
      <c r="B195" s="871" t="s">
        <v>674</v>
      </c>
      <c r="C195" s="841" t="s">
        <v>947</v>
      </c>
      <c r="D195" s="872"/>
    </row>
    <row r="196" spans="1:4" ht="12.6" x14ac:dyDescent="0.3">
      <c r="A196" s="782">
        <v>1.4</v>
      </c>
      <c r="B196" s="867" t="s">
        <v>675</v>
      </c>
      <c r="C196" s="873" t="s">
        <v>948</v>
      </c>
      <c r="D196" s="874"/>
    </row>
    <row r="197" spans="1:4" ht="12.6" x14ac:dyDescent="0.3">
      <c r="A197" s="782">
        <v>1.5</v>
      </c>
      <c r="B197" s="867" t="s">
        <v>676</v>
      </c>
      <c r="C197" s="873" t="s">
        <v>948</v>
      </c>
      <c r="D197" s="875"/>
    </row>
    <row r="198" spans="1:4" ht="12.6" x14ac:dyDescent="0.3">
      <c r="A198" s="782"/>
      <c r="B198" s="831" t="s">
        <v>949</v>
      </c>
      <c r="C198" s="831"/>
      <c r="D198" s="875"/>
    </row>
    <row r="199" spans="1:4" ht="12.6" x14ac:dyDescent="0.3">
      <c r="A199" s="782"/>
      <c r="B199" s="862" t="s">
        <v>950</v>
      </c>
      <c r="C199" s="862"/>
      <c r="D199" s="875"/>
    </row>
    <row r="200" spans="1:4" ht="12.6" x14ac:dyDescent="0.3">
      <c r="A200" s="840"/>
      <c r="B200" s="841" t="s">
        <v>899</v>
      </c>
      <c r="C200" s="852" t="s">
        <v>895</v>
      </c>
      <c r="D200" s="875"/>
    </row>
    <row r="201" spans="1:4" ht="12.6" x14ac:dyDescent="0.3">
      <c r="A201" s="782"/>
      <c r="B201" s="831" t="s">
        <v>951</v>
      </c>
      <c r="C201" s="831"/>
      <c r="D201" s="876"/>
    </row>
    <row r="202" spans="1:4" ht="12.6" x14ac:dyDescent="0.3">
      <c r="A202" s="840"/>
      <c r="B202" s="862" t="s">
        <v>952</v>
      </c>
      <c r="C202" s="862"/>
      <c r="D202" s="877"/>
    </row>
    <row r="203" spans="1:4" ht="12.6" x14ac:dyDescent="0.3">
      <c r="B203" s="831" t="s">
        <v>953</v>
      </c>
      <c r="C203" s="831"/>
      <c r="D203" s="879"/>
    </row>
    <row r="204" spans="1:4" ht="24" x14ac:dyDescent="0.3">
      <c r="A204" s="864">
        <v>1</v>
      </c>
      <c r="B204" s="841" t="s">
        <v>708</v>
      </c>
      <c r="C204" s="841" t="s">
        <v>954</v>
      </c>
      <c r="D204" s="877"/>
    </row>
    <row r="205" spans="1:4" ht="18" customHeight="1" x14ac:dyDescent="0.3">
      <c r="A205" s="864">
        <v>2</v>
      </c>
      <c r="B205" s="841" t="s">
        <v>709</v>
      </c>
      <c r="C205" s="841" t="s">
        <v>955</v>
      </c>
      <c r="D205" s="879"/>
    </row>
    <row r="206" spans="1:4" ht="24" x14ac:dyDescent="0.3">
      <c r="A206" s="864">
        <v>3</v>
      </c>
      <c r="B206" s="841" t="s">
        <v>710</v>
      </c>
      <c r="C206" s="841" t="s">
        <v>956</v>
      </c>
      <c r="D206" s="880"/>
    </row>
    <row r="207" spans="1:4" ht="12.6" x14ac:dyDescent="0.3">
      <c r="A207" s="864">
        <v>4</v>
      </c>
      <c r="B207" s="841" t="s">
        <v>711</v>
      </c>
      <c r="C207" s="841" t="s">
        <v>957</v>
      </c>
      <c r="D207" s="880"/>
    </row>
    <row r="208" spans="1:4" ht="24" x14ac:dyDescent="0.3">
      <c r="A208" s="864">
        <v>5</v>
      </c>
      <c r="B208" s="841" t="s">
        <v>712</v>
      </c>
      <c r="C208" s="841" t="s">
        <v>958</v>
      </c>
    </row>
    <row r="209" spans="1:3" ht="24.6" customHeight="1" x14ac:dyDescent="0.3">
      <c r="A209" s="864">
        <v>6</v>
      </c>
      <c r="B209" s="841" t="s">
        <v>713</v>
      </c>
      <c r="C209" s="841" t="s">
        <v>959</v>
      </c>
    </row>
    <row r="210" spans="1:3" ht="24" x14ac:dyDescent="0.3">
      <c r="A210" s="864">
        <v>7</v>
      </c>
      <c r="B210" s="841" t="s">
        <v>714</v>
      </c>
      <c r="C210" s="841" t="s">
        <v>960</v>
      </c>
    </row>
    <row r="211" spans="1:3" x14ac:dyDescent="0.3">
      <c r="A211" s="864">
        <v>7.1</v>
      </c>
      <c r="B211" s="881" t="s">
        <v>715</v>
      </c>
      <c r="C211" s="841" t="s">
        <v>961</v>
      </c>
    </row>
    <row r="212" spans="1:3" x14ac:dyDescent="0.3">
      <c r="A212" s="864">
        <v>7.2</v>
      </c>
      <c r="B212" s="881" t="s">
        <v>716</v>
      </c>
      <c r="C212" s="841" t="s">
        <v>962</v>
      </c>
    </row>
    <row r="213" spans="1:3" x14ac:dyDescent="0.3">
      <c r="A213" s="864">
        <v>7.3</v>
      </c>
      <c r="B213" s="882" t="s">
        <v>717</v>
      </c>
      <c r="C213" s="841" t="s">
        <v>963</v>
      </c>
    </row>
    <row r="214" spans="1:3" ht="39.6" customHeight="1" x14ac:dyDescent="0.3">
      <c r="A214" s="864">
        <v>8</v>
      </c>
      <c r="B214" s="841" t="s">
        <v>718</v>
      </c>
      <c r="C214" s="841" t="s">
        <v>964</v>
      </c>
    </row>
    <row r="215" spans="1:3" x14ac:dyDescent="0.3">
      <c r="A215" s="864">
        <v>9</v>
      </c>
      <c r="B215" s="841" t="s">
        <v>719</v>
      </c>
      <c r="C215" s="841" t="s">
        <v>965</v>
      </c>
    </row>
    <row r="216" spans="1:3" x14ac:dyDescent="0.3">
      <c r="A216" s="883">
        <v>10.1</v>
      </c>
      <c r="B216" s="884" t="s">
        <v>966</v>
      </c>
      <c r="C216" s="885" t="s">
        <v>967</v>
      </c>
    </row>
    <row r="217" spans="1:3" x14ac:dyDescent="0.3">
      <c r="A217" s="886"/>
      <c r="B217" s="887" t="s">
        <v>702</v>
      </c>
      <c r="C217" s="841" t="s">
        <v>968</v>
      </c>
    </row>
    <row r="218" spans="1:3" x14ac:dyDescent="0.3">
      <c r="A218" s="886"/>
      <c r="B218" s="843" t="s">
        <v>649</v>
      </c>
      <c r="C218" s="841" t="s">
        <v>969</v>
      </c>
    </row>
    <row r="219" spans="1:3" x14ac:dyDescent="0.3">
      <c r="A219" s="886"/>
      <c r="B219" s="843" t="s">
        <v>557</v>
      </c>
      <c r="C219" s="841" t="s">
        <v>970</v>
      </c>
    </row>
    <row r="220" spans="1:3" x14ac:dyDescent="0.3">
      <c r="A220" s="886"/>
      <c r="B220" s="843" t="s">
        <v>703</v>
      </c>
      <c r="C220" s="841" t="s">
        <v>971</v>
      </c>
    </row>
    <row r="221" spans="1:3" ht="24" x14ac:dyDescent="0.3">
      <c r="A221" s="886"/>
      <c r="B221" s="843" t="s">
        <v>704</v>
      </c>
      <c r="C221" s="843" t="s">
        <v>972</v>
      </c>
    </row>
    <row r="222" spans="1:3" ht="36" x14ac:dyDescent="0.3">
      <c r="A222" s="886"/>
      <c r="B222" s="843" t="s">
        <v>705</v>
      </c>
      <c r="C222" s="841" t="s">
        <v>973</v>
      </c>
    </row>
    <row r="223" spans="1:3" x14ac:dyDescent="0.3">
      <c r="A223" s="886"/>
      <c r="B223" s="843" t="s">
        <v>974</v>
      </c>
      <c r="C223" s="841" t="s">
        <v>975</v>
      </c>
    </row>
    <row r="224" spans="1:3" ht="24" x14ac:dyDescent="0.3">
      <c r="A224" s="886"/>
      <c r="B224" s="843" t="s">
        <v>976</v>
      </c>
      <c r="C224" s="841" t="s">
        <v>977</v>
      </c>
    </row>
    <row r="225" spans="1:3" ht="12.6" x14ac:dyDescent="0.3">
      <c r="A225" s="888"/>
      <c r="B225" s="889"/>
      <c r="C225" s="890"/>
    </row>
    <row r="226" spans="1:3" ht="12.6" x14ac:dyDescent="0.3">
      <c r="A226" s="888"/>
      <c r="B226" s="890"/>
      <c r="C226" s="890"/>
    </row>
    <row r="227" spans="1:3" ht="12.6" x14ac:dyDescent="0.3">
      <c r="A227" s="888"/>
      <c r="B227" s="890"/>
      <c r="C227" s="890"/>
    </row>
    <row r="228" spans="1:3" ht="12.6" x14ac:dyDescent="0.3">
      <c r="A228" s="888"/>
      <c r="B228" s="891"/>
      <c r="C228" s="890"/>
    </row>
    <row r="229" spans="1:3" x14ac:dyDescent="0.3">
      <c r="A229" s="892"/>
      <c r="B229" s="893"/>
      <c r="C229" s="890"/>
    </row>
    <row r="230" spans="1:3" x14ac:dyDescent="0.3">
      <c r="A230" s="892"/>
      <c r="B230" s="893"/>
      <c r="C230" s="890"/>
    </row>
    <row r="231" spans="1:3" x14ac:dyDescent="0.3">
      <c r="A231" s="892"/>
      <c r="B231" s="893"/>
      <c r="C231" s="890"/>
    </row>
    <row r="232" spans="1:3" x14ac:dyDescent="0.3">
      <c r="A232" s="892"/>
      <c r="B232" s="893"/>
      <c r="C232" s="894"/>
    </row>
    <row r="233" spans="1:3" ht="40.5" customHeight="1" x14ac:dyDescent="0.3">
      <c r="A233" s="892"/>
      <c r="B233" s="893"/>
      <c r="C233" s="890"/>
    </row>
    <row r="234" spans="1:3" ht="24" customHeight="1" x14ac:dyDescent="0.3">
      <c r="A234" s="892"/>
      <c r="B234" s="893"/>
      <c r="C234" s="890"/>
    </row>
    <row r="235" spans="1:3" x14ac:dyDescent="0.3">
      <c r="A235" s="892"/>
      <c r="B235" s="893"/>
      <c r="C235" s="890"/>
    </row>
  </sheetData>
  <mergeCells count="131">
    <mergeCell ref="B201:C201"/>
    <mergeCell ref="B202:C202"/>
    <mergeCell ref="B203:C203"/>
    <mergeCell ref="A217:A224"/>
    <mergeCell ref="A229:A235"/>
    <mergeCell ref="B176:C176"/>
    <mergeCell ref="B183:C183"/>
    <mergeCell ref="B184:C184"/>
    <mergeCell ref="C187:C190"/>
    <mergeCell ref="B198:C198"/>
    <mergeCell ref="B199:C199"/>
    <mergeCell ref="B151:C151"/>
    <mergeCell ref="B152:C152"/>
    <mergeCell ref="B156:C156"/>
    <mergeCell ref="B158:C158"/>
    <mergeCell ref="B159:C159"/>
    <mergeCell ref="B175:C175"/>
    <mergeCell ref="B117:C117"/>
    <mergeCell ref="B118:C118"/>
    <mergeCell ref="B147:C147"/>
    <mergeCell ref="B148:C148"/>
    <mergeCell ref="B149:C149"/>
    <mergeCell ref="B150:C150"/>
    <mergeCell ref="A110:C110"/>
    <mergeCell ref="A111:C111"/>
    <mergeCell ref="B112:C112"/>
    <mergeCell ref="B113:C113"/>
    <mergeCell ref="B114:C114"/>
    <mergeCell ref="B115:C115"/>
    <mergeCell ref="A104:C104"/>
    <mergeCell ref="B105:C105"/>
    <mergeCell ref="A106:C106"/>
    <mergeCell ref="B107:C107"/>
    <mergeCell ref="B108:C108"/>
    <mergeCell ref="B109:C109"/>
    <mergeCell ref="B91:C91"/>
    <mergeCell ref="B92:C92"/>
    <mergeCell ref="B93:C93"/>
    <mergeCell ref="B94:C94"/>
    <mergeCell ref="A95:C95"/>
    <mergeCell ref="A96:C96"/>
    <mergeCell ref="B85:C85"/>
    <mergeCell ref="B86:C86"/>
    <mergeCell ref="A87:C87"/>
    <mergeCell ref="B88:C88"/>
    <mergeCell ref="B89:C89"/>
    <mergeCell ref="B90:C90"/>
    <mergeCell ref="A79:C79"/>
    <mergeCell ref="B80:C80"/>
    <mergeCell ref="B81:C81"/>
    <mergeCell ref="B82:C82"/>
    <mergeCell ref="B83:C83"/>
    <mergeCell ref="B84:C84"/>
    <mergeCell ref="B73:C73"/>
    <mergeCell ref="B74:C74"/>
    <mergeCell ref="A75:C75"/>
    <mergeCell ref="B76:C76"/>
    <mergeCell ref="B77:C77"/>
    <mergeCell ref="B78:C78"/>
    <mergeCell ref="B67:C67"/>
    <mergeCell ref="B68:C68"/>
    <mergeCell ref="B69:C69"/>
    <mergeCell ref="B70:C70"/>
    <mergeCell ref="B71:C71"/>
    <mergeCell ref="B72:C72"/>
    <mergeCell ref="B61:C61"/>
    <mergeCell ref="B62:C62"/>
    <mergeCell ref="B63:C63"/>
    <mergeCell ref="A64:C64"/>
    <mergeCell ref="B65:C65"/>
    <mergeCell ref="A66:C66"/>
    <mergeCell ref="B55:C55"/>
    <mergeCell ref="B56:C56"/>
    <mergeCell ref="B57:C57"/>
    <mergeCell ref="B58:C58"/>
    <mergeCell ref="B59:C59"/>
    <mergeCell ref="B60:C60"/>
    <mergeCell ref="B49:C49"/>
    <mergeCell ref="B50:C50"/>
    <mergeCell ref="B51:C51"/>
    <mergeCell ref="B52:C52"/>
    <mergeCell ref="B53:C53"/>
    <mergeCell ref="A54:C54"/>
    <mergeCell ref="B43:C43"/>
    <mergeCell ref="B44:C44"/>
    <mergeCell ref="A45:C45"/>
    <mergeCell ref="B46:C46"/>
    <mergeCell ref="A47:C47"/>
    <mergeCell ref="B48:C48"/>
    <mergeCell ref="B37:C37"/>
    <mergeCell ref="B38:C38"/>
    <mergeCell ref="B39:C39"/>
    <mergeCell ref="B40:C40"/>
    <mergeCell ref="A41:C41"/>
    <mergeCell ref="B42:C42"/>
    <mergeCell ref="B31:C31"/>
    <mergeCell ref="B32:C32"/>
    <mergeCell ref="B33:C33"/>
    <mergeCell ref="B34:C34"/>
    <mergeCell ref="B35:C35"/>
    <mergeCell ref="B36:C36"/>
    <mergeCell ref="B25:C25"/>
    <mergeCell ref="A26:C26"/>
    <mergeCell ref="B27:C27"/>
    <mergeCell ref="A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A1:C1"/>
    <mergeCell ref="B2:C2"/>
    <mergeCell ref="B3:C3"/>
    <mergeCell ref="A4:C4"/>
    <mergeCell ref="B5:C5"/>
    <mergeCell ref="B6:C6"/>
  </mergeCells>
  <conditionalFormatting sqref="B213">
    <cfRule type="duplicateValues" dxfId="7" priority="1"/>
    <cfRule type="duplicateValues" dxfId="6" priority="2"/>
    <cfRule type="duplicateValues" dxfId="5" priority="3"/>
    <cfRule type="duplicateValues" dxfId="4" priority="4"/>
  </conditionalFormatting>
  <conditionalFormatting sqref="B225">
    <cfRule type="duplicateValues" dxfId="3" priority="5"/>
    <cfRule type="duplicateValues" dxfId="2" priority="6"/>
    <cfRule type="duplicateValues" dxfId="1" priority="7"/>
    <cfRule type="duplicateValues" dxfId="0" priority="8"/>
  </conditionalFormatting>
  <pageMargins left="0.25" right="0.25"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4D895-4479-4F78-9031-C445C6EA894A}">
  <dimension ref="A1:H51"/>
  <sheetViews>
    <sheetView zoomScale="90" zoomScaleNormal="90" workbookViewId="0">
      <selection activeCell="C6" sqref="C6:H45"/>
    </sheetView>
  </sheetViews>
  <sheetFormatPr defaultRowHeight="14.4" x14ac:dyDescent="0.3"/>
  <cols>
    <col min="2" max="2" width="66.5546875" customWidth="1"/>
    <col min="3" max="8" width="17.88671875" customWidth="1"/>
  </cols>
  <sheetData>
    <row r="1" spans="1:8" x14ac:dyDescent="0.3">
      <c r="A1" s="1" t="s">
        <v>0</v>
      </c>
      <c r="B1" s="2" t="s">
        <v>199</v>
      </c>
      <c r="C1" s="3"/>
      <c r="D1" s="4"/>
      <c r="E1" s="4"/>
      <c r="F1" s="4"/>
      <c r="G1" s="4"/>
    </row>
    <row r="2" spans="1:8" x14ac:dyDescent="0.3">
      <c r="A2" s="1" t="s">
        <v>1</v>
      </c>
      <c r="B2" s="5">
        <f>'1. key ratios'!B2</f>
        <v>45016</v>
      </c>
      <c r="C2" s="3"/>
      <c r="D2" s="4"/>
      <c r="E2" s="4"/>
      <c r="F2" s="4"/>
      <c r="G2" s="4"/>
    </row>
    <row r="3" spans="1:8" ht="15" thickBot="1" x14ac:dyDescent="0.35">
      <c r="A3" s="1"/>
      <c r="B3" s="3"/>
      <c r="C3" s="3"/>
      <c r="D3" s="4"/>
      <c r="E3" s="4"/>
      <c r="F3" s="4"/>
      <c r="G3" s="4"/>
    </row>
    <row r="4" spans="1:8" x14ac:dyDescent="0.3">
      <c r="A4" s="125" t="s">
        <v>6</v>
      </c>
      <c r="B4" s="126" t="s">
        <v>116</v>
      </c>
      <c r="C4" s="127" t="s">
        <v>50</v>
      </c>
      <c r="D4" s="127"/>
      <c r="E4" s="127"/>
      <c r="F4" s="127" t="s">
        <v>51</v>
      </c>
      <c r="G4" s="127"/>
      <c r="H4" s="128"/>
    </row>
    <row r="5" spans="1:8" ht="15.6" customHeight="1" x14ac:dyDescent="0.3">
      <c r="A5" s="129"/>
      <c r="B5" s="130"/>
      <c r="C5" s="131" t="s">
        <v>52</v>
      </c>
      <c r="D5" s="131" t="s">
        <v>53</v>
      </c>
      <c r="E5" s="131" t="s">
        <v>54</v>
      </c>
      <c r="F5" s="131" t="s">
        <v>52</v>
      </c>
      <c r="G5" s="131" t="s">
        <v>53</v>
      </c>
      <c r="H5" s="131" t="s">
        <v>54</v>
      </c>
    </row>
    <row r="6" spans="1:8" x14ac:dyDescent="0.3">
      <c r="A6" s="132">
        <v>1</v>
      </c>
      <c r="B6" s="133" t="s">
        <v>117</v>
      </c>
      <c r="C6" s="134">
        <f>SUM(C7:C12)</f>
        <v>1167176.5826592715</v>
      </c>
      <c r="D6" s="134">
        <f>SUM(D7:D12)</f>
        <v>276389.08</v>
      </c>
      <c r="E6" s="135">
        <f>C6+D6</f>
        <v>1443565.6626592716</v>
      </c>
      <c r="F6" s="134">
        <f>SUM(F7:F12)</f>
        <v>1411990.9441140739</v>
      </c>
      <c r="G6" s="134">
        <f>SUM(G7:G12)</f>
        <v>85236.793781667599</v>
      </c>
      <c r="H6" s="135">
        <f>F6+G6</f>
        <v>1497227.7378957416</v>
      </c>
    </row>
    <row r="7" spans="1:8" x14ac:dyDescent="0.3">
      <c r="A7" s="132">
        <v>1.1000000000000001</v>
      </c>
      <c r="B7" s="136" t="s">
        <v>60</v>
      </c>
      <c r="C7" s="134"/>
      <c r="D7" s="134"/>
      <c r="E7" s="135">
        <f t="shared" ref="E7:E45" si="0">C7+D7</f>
        <v>0</v>
      </c>
      <c r="F7" s="134"/>
      <c r="G7" s="134"/>
      <c r="H7" s="135">
        <f t="shared" ref="H7:H45" si="1">F7+G7</f>
        <v>0</v>
      </c>
    </row>
    <row r="8" spans="1:8" ht="20.399999999999999" x14ac:dyDescent="0.3">
      <c r="A8" s="132">
        <v>1.2</v>
      </c>
      <c r="B8" s="136" t="s">
        <v>118</v>
      </c>
      <c r="C8" s="134"/>
      <c r="D8" s="134"/>
      <c r="E8" s="135">
        <f t="shared" si="0"/>
        <v>0</v>
      </c>
      <c r="F8" s="134"/>
      <c r="G8" s="134"/>
      <c r="H8" s="135">
        <f t="shared" si="1"/>
        <v>0</v>
      </c>
    </row>
    <row r="9" spans="1:8" ht="21.6" customHeight="1" x14ac:dyDescent="0.3">
      <c r="A9" s="132">
        <v>1.3</v>
      </c>
      <c r="B9" s="119" t="s">
        <v>119</v>
      </c>
      <c r="C9" s="134"/>
      <c r="D9" s="134"/>
      <c r="E9" s="135">
        <f t="shared" si="0"/>
        <v>0</v>
      </c>
      <c r="F9" s="134"/>
      <c r="G9" s="134"/>
      <c r="H9" s="135">
        <f t="shared" si="1"/>
        <v>0</v>
      </c>
    </row>
    <row r="10" spans="1:8" ht="20.399999999999999" x14ac:dyDescent="0.3">
      <c r="A10" s="132">
        <v>1.4</v>
      </c>
      <c r="B10" s="119" t="s">
        <v>64</v>
      </c>
      <c r="C10" s="134"/>
      <c r="D10" s="134"/>
      <c r="E10" s="135">
        <f t="shared" si="0"/>
        <v>0</v>
      </c>
      <c r="F10" s="134"/>
      <c r="G10" s="134"/>
      <c r="H10" s="135">
        <f t="shared" si="1"/>
        <v>0</v>
      </c>
    </row>
    <row r="11" spans="1:8" x14ac:dyDescent="0.3">
      <c r="A11" s="132">
        <v>1.5</v>
      </c>
      <c r="B11" s="119" t="s">
        <v>68</v>
      </c>
      <c r="C11" s="134">
        <v>1167176.5826592715</v>
      </c>
      <c r="D11" s="134">
        <v>276389.08</v>
      </c>
      <c r="E11" s="135">
        <f t="shared" si="0"/>
        <v>1443565.6626592716</v>
      </c>
      <c r="F11" s="134">
        <v>1411990.9441140739</v>
      </c>
      <c r="G11" s="134">
        <v>85236.793781667599</v>
      </c>
      <c r="H11" s="135">
        <f t="shared" si="1"/>
        <v>1497227.7378957416</v>
      </c>
    </row>
    <row r="12" spans="1:8" x14ac:dyDescent="0.3">
      <c r="A12" s="132">
        <v>1.6</v>
      </c>
      <c r="B12" s="120" t="s">
        <v>80</v>
      </c>
      <c r="C12" s="134"/>
      <c r="D12" s="134"/>
      <c r="E12" s="135">
        <f t="shared" si="0"/>
        <v>0</v>
      </c>
      <c r="F12" s="134"/>
      <c r="G12" s="134"/>
      <c r="H12" s="135">
        <f t="shared" si="1"/>
        <v>0</v>
      </c>
    </row>
    <row r="13" spans="1:8" x14ac:dyDescent="0.3">
      <c r="A13" s="132">
        <v>2</v>
      </c>
      <c r="B13" s="137" t="s">
        <v>120</v>
      </c>
      <c r="C13" s="134">
        <f>SUM(C14:C17)</f>
        <v>-379006.45861566736</v>
      </c>
      <c r="D13" s="134">
        <f>SUM(D14:D17)</f>
        <v>-18970.920000000006</v>
      </c>
      <c r="E13" s="135">
        <f t="shared" si="0"/>
        <v>-397977.37861566735</v>
      </c>
      <c r="F13" s="134">
        <f>SUM(F14:F17)</f>
        <v>-704623.01374785928</v>
      </c>
      <c r="G13" s="134">
        <f>SUM(G14:G17)</f>
        <v>-1071.9100000000008</v>
      </c>
      <c r="H13" s="135">
        <f t="shared" si="1"/>
        <v>-705694.92374785931</v>
      </c>
    </row>
    <row r="14" spans="1:8" x14ac:dyDescent="0.3">
      <c r="A14" s="132">
        <v>2.1</v>
      </c>
      <c r="B14" s="119" t="s">
        <v>121</v>
      </c>
      <c r="C14" s="134"/>
      <c r="D14" s="134"/>
      <c r="E14" s="135">
        <f t="shared" si="0"/>
        <v>0</v>
      </c>
      <c r="F14" s="134"/>
      <c r="G14" s="134"/>
      <c r="H14" s="135">
        <f t="shared" si="1"/>
        <v>0</v>
      </c>
    </row>
    <row r="15" spans="1:8" ht="24.6" customHeight="1" x14ac:dyDescent="0.3">
      <c r="A15" s="132">
        <v>2.2000000000000002</v>
      </c>
      <c r="B15" s="119" t="s">
        <v>122</v>
      </c>
      <c r="C15" s="134"/>
      <c r="D15" s="134"/>
      <c r="E15" s="135">
        <f t="shared" si="0"/>
        <v>0</v>
      </c>
      <c r="F15" s="134"/>
      <c r="G15" s="134"/>
      <c r="H15" s="135">
        <f t="shared" si="1"/>
        <v>0</v>
      </c>
    </row>
    <row r="16" spans="1:8" ht="20.399999999999999" customHeight="1" x14ac:dyDescent="0.3">
      <c r="A16" s="132">
        <v>2.2999999999999998</v>
      </c>
      <c r="B16" s="119" t="s">
        <v>123</v>
      </c>
      <c r="C16" s="134">
        <v>-379006.45861566736</v>
      </c>
      <c r="D16" s="134">
        <v>-18970.920000000006</v>
      </c>
      <c r="E16" s="135">
        <f t="shared" si="0"/>
        <v>-397977.37861566735</v>
      </c>
      <c r="F16" s="134">
        <v>-704623.01374785928</v>
      </c>
      <c r="G16" s="134">
        <v>-1071.9100000000008</v>
      </c>
      <c r="H16" s="135">
        <f t="shared" si="1"/>
        <v>-705694.92374785931</v>
      </c>
    </row>
    <row r="17" spans="1:8" x14ac:dyDescent="0.3">
      <c r="A17" s="132">
        <v>2.4</v>
      </c>
      <c r="B17" s="119" t="s">
        <v>124</v>
      </c>
      <c r="C17" s="134"/>
      <c r="D17" s="134"/>
      <c r="E17" s="135">
        <f t="shared" si="0"/>
        <v>0</v>
      </c>
      <c r="F17" s="134"/>
      <c r="G17" s="134"/>
      <c r="H17" s="135">
        <f t="shared" si="1"/>
        <v>0</v>
      </c>
    </row>
    <row r="18" spans="1:8" x14ac:dyDescent="0.3">
      <c r="A18" s="132">
        <v>3</v>
      </c>
      <c r="B18" s="137" t="s">
        <v>125</v>
      </c>
      <c r="C18" s="134"/>
      <c r="D18" s="134"/>
      <c r="E18" s="135">
        <f t="shared" si="0"/>
        <v>0</v>
      </c>
      <c r="F18" s="134"/>
      <c r="G18" s="134"/>
      <c r="H18" s="135">
        <f t="shared" si="1"/>
        <v>0</v>
      </c>
    </row>
    <row r="19" spans="1:8" x14ac:dyDescent="0.3">
      <c r="A19" s="132">
        <v>4</v>
      </c>
      <c r="B19" s="137" t="s">
        <v>126</v>
      </c>
      <c r="C19" s="134">
        <v>45915.839999999997</v>
      </c>
      <c r="D19" s="134">
        <v>21661.98</v>
      </c>
      <c r="E19" s="135">
        <f t="shared" si="0"/>
        <v>67577.819999999992</v>
      </c>
      <c r="F19" s="134">
        <v>34783.73000000001</v>
      </c>
      <c r="G19" s="134">
        <v>4164.0399999999991</v>
      </c>
      <c r="H19" s="135">
        <f t="shared" si="1"/>
        <v>38947.770000000011</v>
      </c>
    </row>
    <row r="20" spans="1:8" x14ac:dyDescent="0.3">
      <c r="A20" s="132">
        <v>5</v>
      </c>
      <c r="B20" s="137" t="s">
        <v>127</v>
      </c>
      <c r="C20" s="134">
        <v>-18144.359999999997</v>
      </c>
      <c r="D20" s="134">
        <v>-17590.990000000002</v>
      </c>
      <c r="E20" s="135">
        <f t="shared" si="0"/>
        <v>-35735.35</v>
      </c>
      <c r="F20" s="134">
        <v>-47067.540000000008</v>
      </c>
      <c r="G20" s="134">
        <v>-10478.470000000001</v>
      </c>
      <c r="H20" s="135">
        <f t="shared" si="1"/>
        <v>-57546.010000000009</v>
      </c>
    </row>
    <row r="21" spans="1:8" ht="38.4" customHeight="1" x14ac:dyDescent="0.3">
      <c r="A21" s="132">
        <v>6</v>
      </c>
      <c r="B21" s="137" t="s">
        <v>128</v>
      </c>
      <c r="C21" s="134"/>
      <c r="D21" s="134"/>
      <c r="E21" s="135">
        <f t="shared" si="0"/>
        <v>0</v>
      </c>
      <c r="F21" s="134"/>
      <c r="G21" s="134"/>
      <c r="H21" s="135">
        <f t="shared" si="1"/>
        <v>0</v>
      </c>
    </row>
    <row r="22" spans="1:8" ht="27.6" customHeight="1" x14ac:dyDescent="0.3">
      <c r="A22" s="132">
        <v>7</v>
      </c>
      <c r="B22" s="137" t="s">
        <v>129</v>
      </c>
      <c r="C22" s="134"/>
      <c r="D22" s="134"/>
      <c r="E22" s="135">
        <f t="shared" si="0"/>
        <v>0</v>
      </c>
      <c r="F22" s="134"/>
      <c r="G22" s="134"/>
      <c r="H22" s="135">
        <f t="shared" si="1"/>
        <v>0</v>
      </c>
    </row>
    <row r="23" spans="1:8" ht="36.9" customHeight="1" x14ac:dyDescent="0.3">
      <c r="A23" s="132">
        <v>8</v>
      </c>
      <c r="B23" s="138" t="s">
        <v>130</v>
      </c>
      <c r="C23" s="134"/>
      <c r="D23" s="134"/>
      <c r="E23" s="135">
        <f t="shared" si="0"/>
        <v>0</v>
      </c>
      <c r="F23" s="134"/>
      <c r="G23" s="134"/>
      <c r="H23" s="135">
        <f t="shared" si="1"/>
        <v>0</v>
      </c>
    </row>
    <row r="24" spans="1:8" ht="34.5" customHeight="1" x14ac:dyDescent="0.3">
      <c r="A24" s="132">
        <v>9</v>
      </c>
      <c r="B24" s="138" t="s">
        <v>131</v>
      </c>
      <c r="C24" s="134"/>
      <c r="D24" s="134"/>
      <c r="E24" s="135">
        <f t="shared" si="0"/>
        <v>0</v>
      </c>
      <c r="F24" s="134"/>
      <c r="G24" s="134"/>
      <c r="H24" s="135">
        <f t="shared" si="1"/>
        <v>0</v>
      </c>
    </row>
    <row r="25" spans="1:8" x14ac:dyDescent="0.3">
      <c r="A25" s="132">
        <v>10</v>
      </c>
      <c r="B25" s="137" t="s">
        <v>132</v>
      </c>
      <c r="C25" s="134">
        <v>-253382.3685088614</v>
      </c>
      <c r="D25" s="134">
        <v>0</v>
      </c>
      <c r="E25" s="135">
        <f t="shared" si="0"/>
        <v>-253382.3685088614</v>
      </c>
      <c r="F25" s="134">
        <v>-92514.915883934125</v>
      </c>
      <c r="G25" s="134">
        <v>0</v>
      </c>
      <c r="H25" s="135">
        <f t="shared" si="1"/>
        <v>-92514.915883934125</v>
      </c>
    </row>
    <row r="26" spans="1:8" ht="27" customHeight="1" x14ac:dyDescent="0.3">
      <c r="A26" s="132">
        <v>11</v>
      </c>
      <c r="B26" s="139" t="s">
        <v>133</v>
      </c>
      <c r="C26" s="134">
        <v>-24216.100438376907</v>
      </c>
      <c r="D26" s="134">
        <v>0</v>
      </c>
      <c r="E26" s="135">
        <f t="shared" si="0"/>
        <v>-24216.100438376907</v>
      </c>
      <c r="F26" s="134">
        <v>0</v>
      </c>
      <c r="G26" s="134">
        <v>0</v>
      </c>
      <c r="H26" s="135">
        <f t="shared" si="1"/>
        <v>0</v>
      </c>
    </row>
    <row r="27" spans="1:8" x14ac:dyDescent="0.3">
      <c r="A27" s="132">
        <v>12</v>
      </c>
      <c r="B27" s="137" t="s">
        <v>134</v>
      </c>
      <c r="C27" s="134">
        <v>22481.198844000923</v>
      </c>
      <c r="D27" s="134">
        <v>0</v>
      </c>
      <c r="E27" s="135">
        <f t="shared" si="0"/>
        <v>22481.198844000923</v>
      </c>
      <c r="F27" s="916">
        <v>6251.89</v>
      </c>
      <c r="G27" s="140">
        <v>0</v>
      </c>
      <c r="H27" s="135">
        <f t="shared" si="1"/>
        <v>6251.89</v>
      </c>
    </row>
    <row r="28" spans="1:8" x14ac:dyDescent="0.3">
      <c r="A28" s="132">
        <v>13</v>
      </c>
      <c r="B28" s="141" t="s">
        <v>135</v>
      </c>
      <c r="C28" s="134">
        <v>-2017.988844</v>
      </c>
      <c r="D28" s="134">
        <v>0</v>
      </c>
      <c r="E28" s="135">
        <f t="shared" si="0"/>
        <v>-2017.988844</v>
      </c>
      <c r="F28" s="140"/>
      <c r="G28" s="140">
        <v>0</v>
      </c>
      <c r="H28" s="135">
        <f t="shared" si="1"/>
        <v>0</v>
      </c>
    </row>
    <row r="29" spans="1:8" x14ac:dyDescent="0.3">
      <c r="A29" s="132">
        <v>14</v>
      </c>
      <c r="B29" s="975" t="s">
        <v>136</v>
      </c>
      <c r="C29" s="134">
        <f>SUM(C30:C31)</f>
        <v>-1797017.5500000003</v>
      </c>
      <c r="D29" s="134">
        <f>SUM(D30:D31)</f>
        <v>-202234.00000000006</v>
      </c>
      <c r="E29" s="135">
        <f t="shared" si="0"/>
        <v>-1999251.5500000003</v>
      </c>
      <c r="F29" s="140">
        <f>SUM(F30:F31)</f>
        <v>-1411131.25</v>
      </c>
      <c r="G29" s="140">
        <f>SUM(G30:G31)</f>
        <v>-93382.190000000031</v>
      </c>
      <c r="H29" s="143">
        <f t="shared" si="1"/>
        <v>-1504513.44</v>
      </c>
    </row>
    <row r="30" spans="1:8" x14ac:dyDescent="0.3">
      <c r="A30" s="132">
        <v>14.1</v>
      </c>
      <c r="B30" s="363" t="s">
        <v>137</v>
      </c>
      <c r="C30" s="134">
        <v>-1254699.2000000002</v>
      </c>
      <c r="D30" s="134">
        <v>0</v>
      </c>
      <c r="E30" s="135">
        <f t="shared" si="0"/>
        <v>-1254699.2000000002</v>
      </c>
      <c r="F30" s="140">
        <v>-815485.51</v>
      </c>
      <c r="G30" s="140">
        <v>0</v>
      </c>
      <c r="H30" s="143">
        <f t="shared" si="1"/>
        <v>-815485.51</v>
      </c>
    </row>
    <row r="31" spans="1:8" x14ac:dyDescent="0.3">
      <c r="A31" s="132">
        <v>14.2</v>
      </c>
      <c r="B31" s="363" t="s">
        <v>138</v>
      </c>
      <c r="C31" s="134">
        <v>-542318.35</v>
      </c>
      <c r="D31" s="134">
        <v>-202234.00000000006</v>
      </c>
      <c r="E31" s="135">
        <f t="shared" si="0"/>
        <v>-744552.35000000009</v>
      </c>
      <c r="F31" s="140">
        <v>-595645.74000000011</v>
      </c>
      <c r="G31" s="140">
        <v>-93382.190000000031</v>
      </c>
      <c r="H31" s="143">
        <f t="shared" si="1"/>
        <v>-689027.93000000017</v>
      </c>
    </row>
    <row r="32" spans="1:8" x14ac:dyDescent="0.3">
      <c r="A32" s="132">
        <v>15</v>
      </c>
      <c r="B32" s="144" t="s">
        <v>139</v>
      </c>
      <c r="C32" s="134">
        <v>-211249.59000000003</v>
      </c>
      <c r="D32" s="134">
        <v>0</v>
      </c>
      <c r="E32" s="135">
        <f t="shared" si="0"/>
        <v>-211249.59000000003</v>
      </c>
      <c r="F32" s="140">
        <v>-164397.11000000002</v>
      </c>
      <c r="G32" s="140">
        <v>0</v>
      </c>
      <c r="H32" s="143">
        <f t="shared" si="1"/>
        <v>-164397.11000000002</v>
      </c>
    </row>
    <row r="33" spans="1:8" ht="22.5" customHeight="1" x14ac:dyDescent="0.3">
      <c r="A33" s="132">
        <v>16</v>
      </c>
      <c r="B33" s="122" t="s">
        <v>140</v>
      </c>
      <c r="C33" s="134"/>
      <c r="D33" s="134"/>
      <c r="E33" s="135">
        <f t="shared" si="0"/>
        <v>0</v>
      </c>
      <c r="F33" s="134"/>
      <c r="G33" s="134"/>
      <c r="H33" s="135">
        <f t="shared" si="1"/>
        <v>0</v>
      </c>
    </row>
    <row r="34" spans="1:8" x14ac:dyDescent="0.3">
      <c r="A34" s="132">
        <v>17</v>
      </c>
      <c r="B34" s="142" t="s">
        <v>141</v>
      </c>
      <c r="C34" s="134">
        <f>SUM(C35:C36)</f>
        <v>-9389.7917458761913</v>
      </c>
      <c r="D34" s="134">
        <f>SUM(D35:D36)</f>
        <v>-34833.640175262</v>
      </c>
      <c r="E34" s="135">
        <f t="shared" si="0"/>
        <v>-44223.431921138195</v>
      </c>
      <c r="F34" s="134">
        <f>SUM(F35:F36)</f>
        <v>0</v>
      </c>
      <c r="G34" s="134">
        <f>SUM(G35:G36)</f>
        <v>0</v>
      </c>
      <c r="H34" s="135">
        <f t="shared" si="1"/>
        <v>0</v>
      </c>
    </row>
    <row r="35" spans="1:8" x14ac:dyDescent="0.3">
      <c r="A35" s="132">
        <v>17.100000000000001</v>
      </c>
      <c r="B35" s="145" t="s">
        <v>142</v>
      </c>
      <c r="C35" s="134">
        <v>-9389.7917458761913</v>
      </c>
      <c r="D35" s="134">
        <v>-34833.640175262</v>
      </c>
      <c r="E35" s="135">
        <f t="shared" si="0"/>
        <v>-44223.431921138195</v>
      </c>
      <c r="F35" s="134">
        <v>0</v>
      </c>
      <c r="G35" s="134">
        <v>0</v>
      </c>
      <c r="H35" s="135">
        <f t="shared" si="1"/>
        <v>0</v>
      </c>
    </row>
    <row r="36" spans="1:8" x14ac:dyDescent="0.3">
      <c r="A36" s="132">
        <v>17.2</v>
      </c>
      <c r="B36" s="108" t="s">
        <v>143</v>
      </c>
      <c r="C36" s="134"/>
      <c r="D36" s="134"/>
      <c r="E36" s="135">
        <f t="shared" si="0"/>
        <v>0</v>
      </c>
      <c r="F36" s="134"/>
      <c r="G36" s="134"/>
      <c r="H36" s="135">
        <f t="shared" si="1"/>
        <v>0</v>
      </c>
    </row>
    <row r="37" spans="1:8" ht="41.4" customHeight="1" x14ac:dyDescent="0.3">
      <c r="A37" s="132">
        <v>18</v>
      </c>
      <c r="B37" s="146" t="s">
        <v>144</v>
      </c>
      <c r="C37" s="134">
        <f>SUM(C38:C39)</f>
        <v>1328.8273084201892</v>
      </c>
      <c r="D37" s="134">
        <f>SUM(D38:D39)</f>
        <v>115965.97301875748</v>
      </c>
      <c r="E37" s="135">
        <f t="shared" si="0"/>
        <v>117294.80032717767</v>
      </c>
      <c r="F37" s="147">
        <f>SUM(F38:F39)</f>
        <v>76034.27120672923</v>
      </c>
      <c r="G37" s="147">
        <f>SUM(G38:G39)</f>
        <v>17084.47</v>
      </c>
      <c r="H37" s="135">
        <f t="shared" si="1"/>
        <v>93118.741206729232</v>
      </c>
    </row>
    <row r="38" spans="1:8" ht="20.399999999999999" x14ac:dyDescent="0.3">
      <c r="A38" s="132">
        <v>18.100000000000001</v>
      </c>
      <c r="B38" s="119" t="s">
        <v>145</v>
      </c>
      <c r="C38" s="134"/>
      <c r="D38" s="134"/>
      <c r="E38" s="135">
        <f t="shared" si="0"/>
        <v>0</v>
      </c>
      <c r="F38" s="147"/>
      <c r="G38" s="147"/>
      <c r="H38" s="135">
        <f t="shared" si="1"/>
        <v>0</v>
      </c>
    </row>
    <row r="39" spans="1:8" x14ac:dyDescent="0.3">
      <c r="A39" s="132">
        <v>18.2</v>
      </c>
      <c r="B39" s="119" t="s">
        <v>146</v>
      </c>
      <c r="C39" s="134">
        <v>1328.8273084201892</v>
      </c>
      <c r="D39" s="134">
        <v>115965.97301875748</v>
      </c>
      <c r="E39" s="135">
        <f t="shared" si="0"/>
        <v>117294.80032717767</v>
      </c>
      <c r="F39" s="915">
        <v>76034.27120672923</v>
      </c>
      <c r="G39" s="147">
        <v>17084.47</v>
      </c>
      <c r="H39" s="135">
        <f t="shared" si="1"/>
        <v>93118.741206729232</v>
      </c>
    </row>
    <row r="40" spans="1:8" ht="24.6" customHeight="1" x14ac:dyDescent="0.3">
      <c r="A40" s="132">
        <v>19</v>
      </c>
      <c r="B40" s="146" t="s">
        <v>147</v>
      </c>
      <c r="C40" s="134"/>
      <c r="D40" s="134"/>
      <c r="E40" s="135">
        <f t="shared" si="0"/>
        <v>0</v>
      </c>
      <c r="F40" s="134"/>
      <c r="G40" s="134"/>
      <c r="H40" s="135">
        <f t="shared" si="1"/>
        <v>0</v>
      </c>
    </row>
    <row r="41" spans="1:8" ht="24.9" customHeight="1" x14ac:dyDescent="0.3">
      <c r="A41" s="132">
        <v>20</v>
      </c>
      <c r="B41" s="146" t="s">
        <v>148</v>
      </c>
      <c r="C41" s="134">
        <v>159729.28678434156</v>
      </c>
      <c r="D41" s="134">
        <v>0</v>
      </c>
      <c r="E41" s="135">
        <f t="shared" si="0"/>
        <v>159729.28678434156</v>
      </c>
      <c r="F41" s="134">
        <v>0</v>
      </c>
      <c r="G41" s="134">
        <v>0</v>
      </c>
      <c r="H41" s="135">
        <f t="shared" si="1"/>
        <v>0</v>
      </c>
    </row>
    <row r="42" spans="1:8" ht="33" customHeight="1" x14ac:dyDescent="0.3">
      <c r="A42" s="132">
        <v>21</v>
      </c>
      <c r="B42" s="148" t="s">
        <v>149</v>
      </c>
      <c r="C42" s="134"/>
      <c r="D42" s="134"/>
      <c r="E42" s="135">
        <f t="shared" si="0"/>
        <v>0</v>
      </c>
      <c r="F42" s="134"/>
      <c r="G42" s="134"/>
      <c r="H42" s="135">
        <f t="shared" si="1"/>
        <v>0</v>
      </c>
    </row>
    <row r="43" spans="1:8" x14ac:dyDescent="0.3">
      <c r="A43" s="132">
        <v>22</v>
      </c>
      <c r="B43" s="149" t="s">
        <v>150</v>
      </c>
      <c r="C43" s="134">
        <f>SUM(C6,C13,C18,C19,C20,C21,C22,C23,C24,C25,C26,C27,C28,C29,C32,C33,C34,C37,C40,C41,C42)</f>
        <v>-1297792.4725567482</v>
      </c>
      <c r="D43" s="134">
        <f>SUM(D6,D13,D18,D19,D20,D21,D22,D23,D24,D25,D26,D27,D28,D29,D32,D33,D34,D37,D40,D41,D42)</f>
        <v>140387.48284349544</v>
      </c>
      <c r="E43" s="135">
        <f t="shared" si="0"/>
        <v>-1157404.9897132528</v>
      </c>
      <c r="F43" s="134">
        <f>SUM(F6,F13,F18,F19,F20,F21,F22,F23,F24,F25,F26,F27,F28,F29,F32,F33,F34,F37,F40,F41,F42)</f>
        <v>-890672.99431099033</v>
      </c>
      <c r="G43" s="134">
        <f>SUM(G6,G13,G18,G19,G20,G21,G22,G23,G24,G25,G26,G27,G28,G29,G32,G33,G34,G37,G40,G41,G42)</f>
        <v>1552.7337816675572</v>
      </c>
      <c r="H43" s="135">
        <f t="shared" si="1"/>
        <v>-889120.26052932278</v>
      </c>
    </row>
    <row r="44" spans="1:8" x14ac:dyDescent="0.3">
      <c r="A44" s="132">
        <v>23</v>
      </c>
      <c r="B44" s="149" t="s">
        <v>151</v>
      </c>
      <c r="C44" s="134"/>
      <c r="D44" s="134"/>
      <c r="E44" s="135">
        <f t="shared" si="0"/>
        <v>0</v>
      </c>
      <c r="F44" s="134"/>
      <c r="G44" s="134"/>
      <c r="H44" s="135">
        <f t="shared" si="1"/>
        <v>0</v>
      </c>
    </row>
    <row r="45" spans="1:8" x14ac:dyDescent="0.3">
      <c r="A45" s="132">
        <v>24</v>
      </c>
      <c r="B45" s="149" t="s">
        <v>152</v>
      </c>
      <c r="C45" s="134">
        <f>C43-C44</f>
        <v>-1297792.4725567482</v>
      </c>
      <c r="D45" s="134">
        <f>D43-D44</f>
        <v>140387.48284349544</v>
      </c>
      <c r="E45" s="135">
        <f t="shared" si="0"/>
        <v>-1157404.9897132528</v>
      </c>
      <c r="F45" s="134">
        <f>F43-F44</f>
        <v>-890672.99431099033</v>
      </c>
      <c r="G45" s="134">
        <f>G43-G44</f>
        <v>1552.7337816675572</v>
      </c>
      <c r="H45" s="135">
        <f t="shared" si="1"/>
        <v>-889120.26052932278</v>
      </c>
    </row>
    <row r="47" spans="1:8" s="913" customFormat="1" x14ac:dyDescent="0.3">
      <c r="H47" s="914"/>
    </row>
    <row r="51" spans="3:8" x14ac:dyDescent="0.3">
      <c r="C51" s="111"/>
      <c r="D51" s="111"/>
      <c r="E51" s="111"/>
      <c r="F51" s="111"/>
      <c r="G51" s="111"/>
      <c r="H51" s="111"/>
    </row>
  </sheetData>
  <mergeCells count="4">
    <mergeCell ref="A4:A5"/>
    <mergeCell ref="B4:B5"/>
    <mergeCell ref="C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F9AA-B5F6-4044-A920-9678B9520EC5}">
  <dimension ref="A1:J47"/>
  <sheetViews>
    <sheetView tabSelected="1" zoomScaleNormal="100" workbookViewId="0">
      <selection activeCell="C6" sqref="C6:H43"/>
    </sheetView>
  </sheetViews>
  <sheetFormatPr defaultRowHeight="14.4" x14ac:dyDescent="0.3"/>
  <cols>
    <col min="1" max="1" width="8.88671875" style="123"/>
    <col min="2" max="2" width="87.5546875" bestFit="1" customWidth="1"/>
    <col min="3" max="8" width="12.6640625" customWidth="1"/>
  </cols>
  <sheetData>
    <row r="1" spans="1:8" x14ac:dyDescent="0.3">
      <c r="A1" s="1" t="s">
        <v>0</v>
      </c>
      <c r="B1" s="2" t="s">
        <v>199</v>
      </c>
      <c r="C1" s="3"/>
      <c r="D1" s="4"/>
      <c r="E1" s="4"/>
      <c r="F1" s="4"/>
      <c r="G1" s="4"/>
    </row>
    <row r="2" spans="1:8" x14ac:dyDescent="0.3">
      <c r="A2" s="1" t="s">
        <v>1</v>
      </c>
      <c r="B2" s="5">
        <f>'1. key ratios'!B2</f>
        <v>45016</v>
      </c>
      <c r="C2" s="3"/>
      <c r="D2" s="4"/>
      <c r="E2" s="4"/>
      <c r="F2" s="4"/>
      <c r="G2" s="4"/>
    </row>
    <row r="3" spans="1:8" ht="15" thickBot="1" x14ac:dyDescent="0.35">
      <c r="A3" s="1"/>
      <c r="B3" s="3"/>
      <c r="C3" s="3"/>
      <c r="D3" s="4"/>
      <c r="E3" s="4"/>
      <c r="F3" s="4"/>
      <c r="G3" s="4"/>
    </row>
    <row r="4" spans="1:8" x14ac:dyDescent="0.3">
      <c r="A4" s="84" t="s">
        <v>6</v>
      </c>
      <c r="B4" s="208" t="s">
        <v>248</v>
      </c>
      <c r="C4" s="209" t="s">
        <v>50</v>
      </c>
      <c r="D4" s="209"/>
      <c r="E4" s="209"/>
      <c r="F4" s="209" t="s">
        <v>51</v>
      </c>
      <c r="G4" s="209"/>
      <c r="H4" s="210"/>
    </row>
    <row r="5" spans="1:8" x14ac:dyDescent="0.3">
      <c r="A5" s="84"/>
      <c r="B5" s="208"/>
      <c r="C5" s="131" t="s">
        <v>52</v>
      </c>
      <c r="D5" s="131" t="s">
        <v>53</v>
      </c>
      <c r="E5" s="131" t="s">
        <v>54</v>
      </c>
      <c r="F5" s="131" t="s">
        <v>52</v>
      </c>
      <c r="G5" s="131" t="s">
        <v>53</v>
      </c>
      <c r="H5" s="211" t="s">
        <v>54</v>
      </c>
    </row>
    <row r="6" spans="1:8" x14ac:dyDescent="0.3">
      <c r="A6" s="94">
        <v>1</v>
      </c>
      <c r="B6" s="212" t="s">
        <v>249</v>
      </c>
      <c r="C6" s="213">
        <v>0</v>
      </c>
      <c r="D6" s="213">
        <v>0</v>
      </c>
      <c r="E6" s="214">
        <f t="shared" ref="E6:E43" si="0">C6+D6</f>
        <v>0</v>
      </c>
      <c r="F6" s="213"/>
      <c r="G6" s="213"/>
      <c r="H6" s="215">
        <f t="shared" ref="H6:H43" si="1">F6+G6</f>
        <v>0</v>
      </c>
    </row>
    <row r="7" spans="1:8" x14ac:dyDescent="0.3">
      <c r="A7" s="94">
        <v>2</v>
      </c>
      <c r="B7" s="212" t="s">
        <v>250</v>
      </c>
      <c r="C7" s="213"/>
      <c r="D7" s="213"/>
      <c r="E7" s="214">
        <f t="shared" si="0"/>
        <v>0</v>
      </c>
      <c r="F7" s="213"/>
      <c r="G7" s="213"/>
      <c r="H7" s="215">
        <f t="shared" si="1"/>
        <v>0</v>
      </c>
    </row>
    <row r="8" spans="1:8" x14ac:dyDescent="0.3">
      <c r="A8" s="94">
        <v>3</v>
      </c>
      <c r="B8" s="212" t="s">
        <v>251</v>
      </c>
      <c r="C8" s="213">
        <f>C9+C10</f>
        <v>117000</v>
      </c>
      <c r="D8" s="213">
        <f>D9+D10</f>
        <v>15874480</v>
      </c>
      <c r="E8" s="214">
        <f t="shared" si="0"/>
        <v>15991480</v>
      </c>
      <c r="F8" s="213">
        <f>F9+F10</f>
        <v>191000</v>
      </c>
      <c r="G8" s="213">
        <f>G9+G10</f>
        <v>6202600</v>
      </c>
      <c r="H8" s="215">
        <f t="shared" si="1"/>
        <v>6393600</v>
      </c>
    </row>
    <row r="9" spans="1:8" x14ac:dyDescent="0.3">
      <c r="A9" s="94">
        <v>3.1</v>
      </c>
      <c r="B9" s="216" t="s">
        <v>252</v>
      </c>
      <c r="C9" s="213">
        <v>117000</v>
      </c>
      <c r="D9" s="213">
        <v>15874480</v>
      </c>
      <c r="E9" s="214">
        <f t="shared" si="0"/>
        <v>15991480</v>
      </c>
      <c r="F9" s="213">
        <v>191000</v>
      </c>
      <c r="G9" s="213">
        <v>6202600</v>
      </c>
      <c r="H9" s="215">
        <f t="shared" si="1"/>
        <v>6393600</v>
      </c>
    </row>
    <row r="10" spans="1:8" x14ac:dyDescent="0.3">
      <c r="A10" s="94">
        <v>3.2</v>
      </c>
      <c r="B10" s="216" t="s">
        <v>253</v>
      </c>
      <c r="C10" s="213"/>
      <c r="D10" s="213"/>
      <c r="E10" s="214">
        <f t="shared" si="0"/>
        <v>0</v>
      </c>
      <c r="F10" s="213"/>
      <c r="G10" s="213"/>
      <c r="H10" s="215">
        <f t="shared" si="1"/>
        <v>0</v>
      </c>
    </row>
    <row r="11" spans="1:8" x14ac:dyDescent="0.3">
      <c r="A11" s="94">
        <v>4</v>
      </c>
      <c r="B11" s="212" t="s">
        <v>254</v>
      </c>
      <c r="C11" s="213">
        <f>C12+C13</f>
        <v>2124000</v>
      </c>
      <c r="D11" s="213">
        <f>D12+D13</f>
        <v>0</v>
      </c>
      <c r="E11" s="214">
        <f t="shared" si="0"/>
        <v>2124000</v>
      </c>
      <c r="F11" s="213">
        <f>F12+F13</f>
        <v>21803000</v>
      </c>
      <c r="G11" s="213">
        <f>G12+G13</f>
        <v>0</v>
      </c>
      <c r="H11" s="215">
        <f t="shared" si="1"/>
        <v>21803000</v>
      </c>
    </row>
    <row r="12" spans="1:8" x14ac:dyDescent="0.3">
      <c r="A12" s="94">
        <v>4.0999999999999996</v>
      </c>
      <c r="B12" s="216" t="s">
        <v>255</v>
      </c>
      <c r="C12" s="213">
        <v>2124000</v>
      </c>
      <c r="D12" s="213">
        <v>0</v>
      </c>
      <c r="E12" s="214">
        <f t="shared" si="0"/>
        <v>2124000</v>
      </c>
      <c r="F12" s="213">
        <v>21803000</v>
      </c>
      <c r="G12" s="213">
        <v>0</v>
      </c>
      <c r="H12" s="215">
        <f t="shared" si="1"/>
        <v>21803000</v>
      </c>
    </row>
    <row r="13" spans="1:8" x14ac:dyDescent="0.3">
      <c r="A13" s="94">
        <v>4.2</v>
      </c>
      <c r="B13" s="216" t="s">
        <v>256</v>
      </c>
      <c r="C13" s="213"/>
      <c r="D13" s="213"/>
      <c r="E13" s="214">
        <f t="shared" si="0"/>
        <v>0</v>
      </c>
      <c r="F13" s="213"/>
      <c r="G13" s="213"/>
      <c r="H13" s="215">
        <f t="shared" si="1"/>
        <v>0</v>
      </c>
    </row>
    <row r="14" spans="1:8" x14ac:dyDescent="0.3">
      <c r="A14" s="94">
        <v>5</v>
      </c>
      <c r="B14" s="217" t="s">
        <v>257</v>
      </c>
      <c r="C14" s="213">
        <f>C15+C16+C17+C23+C24+C25+C26</f>
        <v>600000</v>
      </c>
      <c r="D14" s="213">
        <f>D15+D16+D17+D23+D24+D25+D26</f>
        <v>27102342.550000001</v>
      </c>
      <c r="E14" s="214">
        <f t="shared" si="0"/>
        <v>27702342.550000001</v>
      </c>
      <c r="F14" s="213">
        <f>F15+F16+F17+F23+F24+F25+F26</f>
        <v>415000</v>
      </c>
      <c r="G14" s="213">
        <f>G15+G16+G17+G23+G24+G25+G26</f>
        <v>18516526.730000004</v>
      </c>
      <c r="H14" s="215">
        <f t="shared" si="1"/>
        <v>18931526.730000004</v>
      </c>
    </row>
    <row r="15" spans="1:8" x14ac:dyDescent="0.3">
      <c r="A15" s="94">
        <v>5.0999999999999996</v>
      </c>
      <c r="B15" s="218" t="s">
        <v>258</v>
      </c>
      <c r="C15" s="213">
        <v>585000</v>
      </c>
      <c r="D15" s="213">
        <v>30724.799999999999</v>
      </c>
      <c r="E15" s="214">
        <f t="shared" si="0"/>
        <v>615724.80000000005</v>
      </c>
      <c r="F15" s="213">
        <v>310000</v>
      </c>
      <c r="G15" s="213">
        <v>37215.599999999999</v>
      </c>
      <c r="H15" s="215">
        <f t="shared" si="1"/>
        <v>347215.6</v>
      </c>
    </row>
    <row r="16" spans="1:8" x14ac:dyDescent="0.3">
      <c r="A16" s="94">
        <v>5.2</v>
      </c>
      <c r="B16" s="218" t="s">
        <v>259</v>
      </c>
      <c r="C16" s="213">
        <v>0</v>
      </c>
      <c r="D16" s="213">
        <v>0</v>
      </c>
      <c r="E16" s="214">
        <f t="shared" si="0"/>
        <v>0</v>
      </c>
      <c r="F16" s="213">
        <v>0</v>
      </c>
      <c r="G16" s="213">
        <v>0</v>
      </c>
      <c r="H16" s="215">
        <f t="shared" si="1"/>
        <v>0</v>
      </c>
    </row>
    <row r="17" spans="1:10" x14ac:dyDescent="0.3">
      <c r="A17" s="94">
        <v>5.3</v>
      </c>
      <c r="B17" s="218" t="s">
        <v>260</v>
      </c>
      <c r="C17" s="213">
        <f>C18+C19+C20+C21+C22</f>
        <v>0</v>
      </c>
      <c r="D17" s="213">
        <f>D18+D19+D20+D21+D22</f>
        <v>27071617.75</v>
      </c>
      <c r="E17" s="214">
        <f t="shared" si="0"/>
        <v>27071617.75</v>
      </c>
      <c r="F17" s="213">
        <v>90000</v>
      </c>
      <c r="G17" s="213">
        <v>18479311.130000003</v>
      </c>
      <c r="H17" s="215">
        <f t="shared" si="1"/>
        <v>18569311.130000003</v>
      </c>
    </row>
    <row r="18" spans="1:10" x14ac:dyDescent="0.3">
      <c r="A18" s="94" t="s">
        <v>261</v>
      </c>
      <c r="B18" s="219" t="s">
        <v>262</v>
      </c>
      <c r="C18" s="213">
        <v>0</v>
      </c>
      <c r="D18" s="213">
        <v>6863152.2000000002</v>
      </c>
      <c r="E18" s="214">
        <f t="shared" si="0"/>
        <v>6863152.2000000002</v>
      </c>
      <c r="F18" s="213">
        <v>90000</v>
      </c>
      <c r="G18" s="213">
        <v>5514269.3200000003</v>
      </c>
      <c r="H18" s="215">
        <f t="shared" si="1"/>
        <v>5604269.3200000003</v>
      </c>
    </row>
    <row r="19" spans="1:10" x14ac:dyDescent="0.3">
      <c r="A19" s="94" t="s">
        <v>263</v>
      </c>
      <c r="B19" s="220" t="s">
        <v>264</v>
      </c>
      <c r="C19" s="213">
        <v>0</v>
      </c>
      <c r="D19" s="213">
        <v>6457072.7599999998</v>
      </c>
      <c r="E19" s="214">
        <f t="shared" si="0"/>
        <v>6457072.7599999998</v>
      </c>
      <c r="F19" s="213">
        <v>0</v>
      </c>
      <c r="G19" s="213">
        <v>7783952.8700000001</v>
      </c>
      <c r="H19" s="215">
        <f t="shared" si="1"/>
        <v>7783952.8700000001</v>
      </c>
    </row>
    <row r="20" spans="1:10" x14ac:dyDescent="0.3">
      <c r="A20" s="94" t="s">
        <v>265</v>
      </c>
      <c r="B20" s="220" t="s">
        <v>266</v>
      </c>
      <c r="C20" s="213">
        <v>0</v>
      </c>
      <c r="D20" s="213">
        <v>0</v>
      </c>
      <c r="E20" s="214">
        <f t="shared" si="0"/>
        <v>0</v>
      </c>
      <c r="F20" s="213">
        <v>0</v>
      </c>
      <c r="G20" s="213">
        <v>0</v>
      </c>
      <c r="H20" s="215">
        <f t="shared" si="1"/>
        <v>0</v>
      </c>
    </row>
    <row r="21" spans="1:10" x14ac:dyDescent="0.3">
      <c r="A21" s="94" t="s">
        <v>267</v>
      </c>
      <c r="B21" s="220" t="s">
        <v>268</v>
      </c>
      <c r="C21" s="213">
        <v>0</v>
      </c>
      <c r="D21" s="213">
        <v>13751392.789999999</v>
      </c>
      <c r="E21" s="214">
        <f t="shared" si="0"/>
        <v>13751392.789999999</v>
      </c>
      <c r="F21" s="213">
        <v>0</v>
      </c>
      <c r="G21" s="213">
        <v>5181088.9400000004</v>
      </c>
      <c r="H21" s="215">
        <f t="shared" si="1"/>
        <v>5181088.9400000004</v>
      </c>
    </row>
    <row r="22" spans="1:10" x14ac:dyDescent="0.3">
      <c r="A22" s="94" t="s">
        <v>269</v>
      </c>
      <c r="B22" s="220" t="s">
        <v>202</v>
      </c>
      <c r="C22" s="213">
        <v>0</v>
      </c>
      <c r="D22" s="213">
        <v>0</v>
      </c>
      <c r="E22" s="214">
        <f t="shared" si="0"/>
        <v>0</v>
      </c>
      <c r="F22" s="213">
        <v>0</v>
      </c>
      <c r="G22" s="213">
        <v>0</v>
      </c>
      <c r="H22" s="215">
        <f t="shared" si="1"/>
        <v>0</v>
      </c>
    </row>
    <row r="23" spans="1:10" x14ac:dyDescent="0.3">
      <c r="A23" s="94">
        <v>5.4</v>
      </c>
      <c r="B23" s="218" t="s">
        <v>270</v>
      </c>
      <c r="C23" s="213">
        <v>15000</v>
      </c>
      <c r="D23" s="213">
        <v>0</v>
      </c>
      <c r="E23" s="214">
        <f t="shared" si="0"/>
        <v>15000</v>
      </c>
      <c r="F23" s="213">
        <v>15000</v>
      </c>
      <c r="G23" s="213">
        <v>0</v>
      </c>
      <c r="H23" s="215">
        <f t="shared" si="1"/>
        <v>15000</v>
      </c>
    </row>
    <row r="24" spans="1:10" x14ac:dyDescent="0.3">
      <c r="A24" s="94">
        <v>5.5</v>
      </c>
      <c r="B24" s="218" t="s">
        <v>271</v>
      </c>
      <c r="C24" s="213">
        <v>0</v>
      </c>
      <c r="D24" s="213">
        <v>0</v>
      </c>
      <c r="E24" s="214">
        <f t="shared" si="0"/>
        <v>0</v>
      </c>
      <c r="F24" s="213">
        <v>0</v>
      </c>
      <c r="G24" s="213">
        <v>0</v>
      </c>
      <c r="H24" s="215">
        <f t="shared" si="1"/>
        <v>0</v>
      </c>
    </row>
    <row r="25" spans="1:10" x14ac:dyDescent="0.3">
      <c r="A25" s="94">
        <v>5.6</v>
      </c>
      <c r="B25" s="218" t="s">
        <v>272</v>
      </c>
      <c r="C25" s="213">
        <v>0</v>
      </c>
      <c r="D25" s="213">
        <v>0</v>
      </c>
      <c r="E25" s="214">
        <f t="shared" si="0"/>
        <v>0</v>
      </c>
      <c r="F25" s="213">
        <v>0</v>
      </c>
      <c r="G25" s="213">
        <v>0</v>
      </c>
      <c r="H25" s="215">
        <f t="shared" si="1"/>
        <v>0</v>
      </c>
    </row>
    <row r="26" spans="1:10" x14ac:dyDescent="0.3">
      <c r="A26" s="94">
        <v>5.7</v>
      </c>
      <c r="B26" s="218" t="s">
        <v>202</v>
      </c>
      <c r="C26" s="213">
        <v>0</v>
      </c>
      <c r="D26" s="213">
        <v>0</v>
      </c>
      <c r="E26" s="214">
        <f t="shared" si="0"/>
        <v>0</v>
      </c>
      <c r="F26" s="213">
        <v>0</v>
      </c>
      <c r="G26" s="213">
        <v>0</v>
      </c>
      <c r="H26" s="215">
        <f t="shared" si="1"/>
        <v>0</v>
      </c>
    </row>
    <row r="27" spans="1:10" x14ac:dyDescent="0.3">
      <c r="A27" s="94">
        <v>6</v>
      </c>
      <c r="B27" s="217" t="s">
        <v>273</v>
      </c>
      <c r="C27" s="213">
        <v>581249.67000000004</v>
      </c>
      <c r="D27" s="213">
        <v>2045714.2</v>
      </c>
      <c r="E27" s="214">
        <f t="shared" si="0"/>
        <v>2626963.87</v>
      </c>
      <c r="F27" s="213">
        <v>69114.12</v>
      </c>
      <c r="G27" s="213">
        <v>31013</v>
      </c>
      <c r="H27" s="215">
        <f t="shared" si="1"/>
        <v>100127.12</v>
      </c>
    </row>
    <row r="28" spans="1:10" x14ac:dyDescent="0.3">
      <c r="A28" s="94">
        <v>7</v>
      </c>
      <c r="B28" s="217" t="s">
        <v>274</v>
      </c>
      <c r="C28" s="213">
        <v>729500</v>
      </c>
      <c r="D28" s="213">
        <v>25604</v>
      </c>
      <c r="E28" s="214">
        <f t="shared" si="0"/>
        <v>755104</v>
      </c>
      <c r="F28" s="213">
        <v>479500</v>
      </c>
      <c r="G28" s="213">
        <v>31013</v>
      </c>
      <c r="H28" s="215">
        <f t="shared" si="1"/>
        <v>510513</v>
      </c>
    </row>
    <row r="29" spans="1:10" x14ac:dyDescent="0.3">
      <c r="A29" s="94">
        <v>8</v>
      </c>
      <c r="B29" s="217" t="s">
        <v>275</v>
      </c>
      <c r="C29" s="213"/>
      <c r="D29" s="213"/>
      <c r="E29" s="214">
        <f t="shared" si="0"/>
        <v>0</v>
      </c>
      <c r="F29" s="213"/>
      <c r="G29" s="213"/>
      <c r="H29" s="215">
        <f t="shared" si="1"/>
        <v>0</v>
      </c>
    </row>
    <row r="30" spans="1:10" x14ac:dyDescent="0.3">
      <c r="A30" s="94">
        <v>9</v>
      </c>
      <c r="B30" s="212" t="s">
        <v>276</v>
      </c>
      <c r="C30" s="213">
        <f>C31+C32+C33+C34+C35+C36+C37</f>
        <v>10805574</v>
      </c>
      <c r="D30" s="213">
        <f>D31+D32+D33+D34+D35+D36+D37</f>
        <v>10797876.789999999</v>
      </c>
      <c r="E30" s="214">
        <f t="shared" si="0"/>
        <v>21603450.789999999</v>
      </c>
      <c r="F30" s="213">
        <f>F31+F32+F33+F34+F35+F36+F37</f>
        <v>8204757</v>
      </c>
      <c r="G30" s="213">
        <f>G31+G32+G33+G34+G35+G36+G37</f>
        <v>8063380</v>
      </c>
      <c r="H30" s="215">
        <f t="shared" si="1"/>
        <v>16268137</v>
      </c>
    </row>
    <row r="31" spans="1:10" ht="27.6" x14ac:dyDescent="0.3">
      <c r="A31" s="94">
        <v>9.1</v>
      </c>
      <c r="B31" s="216" t="s">
        <v>277</v>
      </c>
      <c r="C31" s="917">
        <v>8236674</v>
      </c>
      <c r="D31" s="917">
        <v>2838056.79</v>
      </c>
      <c r="E31" s="214">
        <f>C31+D31</f>
        <v>11074730.789999999</v>
      </c>
      <c r="F31" s="917">
        <v>8204757</v>
      </c>
      <c r="G31" s="917">
        <v>0</v>
      </c>
      <c r="H31" s="215">
        <f t="shared" si="1"/>
        <v>8204757</v>
      </c>
      <c r="J31" s="221"/>
    </row>
    <row r="32" spans="1:10" ht="27.6" x14ac:dyDescent="0.3">
      <c r="A32" s="94">
        <v>9.1999999999999993</v>
      </c>
      <c r="B32" s="216" t="s">
        <v>278</v>
      </c>
      <c r="C32" s="917">
        <v>2568900</v>
      </c>
      <c r="D32" s="917">
        <v>7959820</v>
      </c>
      <c r="E32" s="214">
        <f t="shared" si="0"/>
        <v>10528720</v>
      </c>
      <c r="F32" s="917">
        <v>0</v>
      </c>
      <c r="G32" s="917">
        <v>8063380</v>
      </c>
      <c r="H32" s="215">
        <f t="shared" si="1"/>
        <v>8063380</v>
      </c>
    </row>
    <row r="33" spans="1:8" ht="27.6" x14ac:dyDescent="0.3">
      <c r="A33" s="94">
        <v>9.3000000000000007</v>
      </c>
      <c r="B33" s="216" t="s">
        <v>279</v>
      </c>
      <c r="C33" s="213"/>
      <c r="D33" s="213"/>
      <c r="E33" s="214">
        <f t="shared" si="0"/>
        <v>0</v>
      </c>
      <c r="F33" s="213"/>
      <c r="G33" s="213"/>
      <c r="H33" s="215">
        <f t="shared" si="1"/>
        <v>0</v>
      </c>
    </row>
    <row r="34" spans="1:8" x14ac:dyDescent="0.3">
      <c r="A34" s="94">
        <v>9.4</v>
      </c>
      <c r="B34" s="216" t="s">
        <v>280</v>
      </c>
      <c r="C34" s="213"/>
      <c r="D34" s="213"/>
      <c r="E34" s="214">
        <f t="shared" si="0"/>
        <v>0</v>
      </c>
      <c r="F34" s="213"/>
      <c r="G34" s="213"/>
      <c r="H34" s="215">
        <f t="shared" si="1"/>
        <v>0</v>
      </c>
    </row>
    <row r="35" spans="1:8" x14ac:dyDescent="0.3">
      <c r="A35" s="94">
        <v>9.5</v>
      </c>
      <c r="B35" s="216" t="s">
        <v>281</v>
      </c>
      <c r="C35" s="213"/>
      <c r="D35" s="213"/>
      <c r="E35" s="214">
        <f t="shared" si="0"/>
        <v>0</v>
      </c>
      <c r="F35" s="213"/>
      <c r="G35" s="213"/>
      <c r="H35" s="215">
        <f t="shared" si="1"/>
        <v>0</v>
      </c>
    </row>
    <row r="36" spans="1:8" ht="27.6" x14ac:dyDescent="0.3">
      <c r="A36" s="94">
        <v>9.6</v>
      </c>
      <c r="B36" s="216" t="s">
        <v>282</v>
      </c>
      <c r="C36" s="213"/>
      <c r="D36" s="213"/>
      <c r="E36" s="214">
        <f t="shared" si="0"/>
        <v>0</v>
      </c>
      <c r="F36" s="213"/>
      <c r="G36" s="213"/>
      <c r="H36" s="215">
        <f t="shared" si="1"/>
        <v>0</v>
      </c>
    </row>
    <row r="37" spans="1:8" ht="27.6" x14ac:dyDescent="0.3">
      <c r="A37" s="94">
        <v>9.6999999999999993</v>
      </c>
      <c r="B37" s="216" t="s">
        <v>283</v>
      </c>
      <c r="C37" s="213"/>
      <c r="D37" s="213"/>
      <c r="E37" s="214">
        <f t="shared" si="0"/>
        <v>0</v>
      </c>
      <c r="F37" s="213"/>
      <c r="G37" s="213"/>
      <c r="H37" s="215">
        <f t="shared" si="1"/>
        <v>0</v>
      </c>
    </row>
    <row r="38" spans="1:8" x14ac:dyDescent="0.3">
      <c r="A38" s="94">
        <v>10</v>
      </c>
      <c r="B38" s="217" t="s">
        <v>284</v>
      </c>
      <c r="C38" s="213">
        <f>C39+C40+C41+C42</f>
        <v>1449135.13</v>
      </c>
      <c r="D38" s="213">
        <f>D39+D40+D41+D42</f>
        <v>1553519</v>
      </c>
      <c r="E38" s="214">
        <f t="shared" si="0"/>
        <v>3002654.13</v>
      </c>
      <c r="F38" s="213">
        <f>F39+F40+F41+F42</f>
        <v>8675452</v>
      </c>
      <c r="G38" s="213">
        <f>G39+G40+G41+G42</f>
        <v>6425042</v>
      </c>
      <c r="H38" s="215">
        <f t="shared" si="1"/>
        <v>15100494</v>
      </c>
    </row>
    <row r="39" spans="1:8" x14ac:dyDescent="0.3">
      <c r="A39" s="94">
        <v>10.1</v>
      </c>
      <c r="B39" s="216" t="s">
        <v>285</v>
      </c>
      <c r="C39" s="213">
        <v>18260.129999999997</v>
      </c>
      <c r="D39" s="213">
        <v>0</v>
      </c>
      <c r="E39" s="214">
        <f t="shared" si="0"/>
        <v>18260.129999999997</v>
      </c>
      <c r="F39" s="213">
        <v>50149</v>
      </c>
      <c r="G39" s="213">
        <v>0</v>
      </c>
      <c r="H39" s="215">
        <f t="shared" si="1"/>
        <v>50149</v>
      </c>
    </row>
    <row r="40" spans="1:8" ht="27.6" x14ac:dyDescent="0.3">
      <c r="A40" s="94">
        <v>10.199999999999999</v>
      </c>
      <c r="B40" s="216" t="s">
        <v>286</v>
      </c>
      <c r="C40" s="213">
        <v>210734</v>
      </c>
      <c r="D40" s="213">
        <v>549128</v>
      </c>
      <c r="E40" s="214">
        <f t="shared" si="0"/>
        <v>759862</v>
      </c>
      <c r="F40" s="213">
        <v>1141496</v>
      </c>
      <c r="G40" s="213">
        <v>1407848</v>
      </c>
      <c r="H40" s="215">
        <f t="shared" si="1"/>
        <v>2549344</v>
      </c>
    </row>
    <row r="41" spans="1:8" ht="27.6" x14ac:dyDescent="0.3">
      <c r="A41" s="94">
        <v>10.3</v>
      </c>
      <c r="B41" s="216" t="s">
        <v>287</v>
      </c>
      <c r="C41" s="213">
        <v>694660</v>
      </c>
      <c r="D41" s="213">
        <v>423768</v>
      </c>
      <c r="E41" s="214">
        <f t="shared" si="0"/>
        <v>1118428</v>
      </c>
      <c r="F41" s="213">
        <v>4146758</v>
      </c>
      <c r="G41" s="213">
        <v>1168220</v>
      </c>
      <c r="H41" s="215">
        <f t="shared" si="1"/>
        <v>5314978</v>
      </c>
    </row>
    <row r="42" spans="1:8" ht="27.6" x14ac:dyDescent="0.3">
      <c r="A42" s="94">
        <v>10.4</v>
      </c>
      <c r="B42" s="216" t="s">
        <v>288</v>
      </c>
      <c r="C42" s="213">
        <v>525481</v>
      </c>
      <c r="D42" s="213">
        <v>580623</v>
      </c>
      <c r="E42" s="214">
        <f t="shared" si="0"/>
        <v>1106104</v>
      </c>
      <c r="F42" s="213">
        <v>3337049</v>
      </c>
      <c r="G42" s="213">
        <v>3848974</v>
      </c>
      <c r="H42" s="215">
        <f t="shared" si="1"/>
        <v>7186023</v>
      </c>
    </row>
    <row r="43" spans="1:8" x14ac:dyDescent="0.3">
      <c r="A43" s="94">
        <v>11</v>
      </c>
      <c r="B43" s="222" t="s">
        <v>289</v>
      </c>
      <c r="C43" s="213"/>
      <c r="D43" s="213"/>
      <c r="E43" s="214">
        <f t="shared" si="0"/>
        <v>0</v>
      </c>
      <c r="F43" s="213"/>
      <c r="G43" s="213"/>
      <c r="H43" s="215">
        <f t="shared" si="1"/>
        <v>0</v>
      </c>
    </row>
    <row r="44" spans="1:8" x14ac:dyDescent="0.3">
      <c r="C44" s="223"/>
      <c r="D44" s="223"/>
      <c r="E44" s="223"/>
      <c r="F44" s="223"/>
      <c r="G44" s="223"/>
      <c r="H44" s="223"/>
    </row>
    <row r="45" spans="1:8" x14ac:dyDescent="0.3">
      <c r="C45" s="223"/>
      <c r="D45" s="223"/>
      <c r="E45" s="223"/>
      <c r="F45" s="223"/>
      <c r="G45" s="223"/>
      <c r="H45" s="223"/>
    </row>
    <row r="46" spans="1:8" x14ac:dyDescent="0.3">
      <c r="C46" s="223"/>
      <c r="D46" s="223"/>
      <c r="E46" s="223"/>
      <c r="F46" s="223"/>
      <c r="G46" s="223"/>
      <c r="H46" s="223"/>
    </row>
    <row r="47" spans="1:8" x14ac:dyDescent="0.3">
      <c r="C47" s="223"/>
      <c r="D47" s="223"/>
      <c r="E47" s="223"/>
      <c r="F47" s="223"/>
      <c r="G47" s="223"/>
      <c r="H47" s="223"/>
    </row>
  </sheetData>
  <mergeCells count="4">
    <mergeCell ref="A4:A5"/>
    <mergeCell ref="B4:B5"/>
    <mergeCell ref="C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22DA4-CFFF-4D24-9322-E4FEC2C33F2B}">
  <dimension ref="A1:G18"/>
  <sheetViews>
    <sheetView zoomScaleNormal="100" workbookViewId="0">
      <pane xSplit="1" ySplit="4" topLeftCell="B5" activePane="bottomRight" state="frozen"/>
      <selection activeCell="D1" sqref="D1:D3"/>
      <selection pane="topRight" activeCell="D1" sqref="D1:D3"/>
      <selection pane="bottomLeft" activeCell="D1" sqref="D1:D3"/>
      <selection pane="bottomRight" activeCell="C7" sqref="C7:G12"/>
    </sheetView>
  </sheetViews>
  <sheetFormatPr defaultColWidth="9.109375" defaultRowHeight="13.8" x14ac:dyDescent="0.3"/>
  <cols>
    <col min="1" max="1" width="9.5546875" style="4" bestFit="1" customWidth="1"/>
    <col min="2" max="2" width="93.5546875" style="4" customWidth="1"/>
    <col min="3" max="3" width="11.6640625" style="4" customWidth="1"/>
    <col min="4" max="4" width="11.6640625" style="897" customWidth="1"/>
    <col min="5" max="7" width="11.6640625" style="224" customWidth="1"/>
    <col min="8" max="8" width="9.6640625" style="224" customWidth="1"/>
    <col min="9" max="16384" width="9.109375" style="224"/>
  </cols>
  <sheetData>
    <row r="1" spans="1:7" x14ac:dyDescent="0.3">
      <c r="A1" s="1" t="s">
        <v>0</v>
      </c>
      <c r="B1" s="3" t="s">
        <v>199</v>
      </c>
      <c r="C1" s="3"/>
    </row>
    <row r="2" spans="1:7" x14ac:dyDescent="0.3">
      <c r="A2" s="1" t="s">
        <v>1</v>
      </c>
      <c r="B2" s="5">
        <f>'1. key ratios'!B2</f>
        <v>45016</v>
      </c>
      <c r="C2" s="3"/>
    </row>
    <row r="3" spans="1:7" x14ac:dyDescent="0.3">
      <c r="A3" s="1"/>
      <c r="B3" s="3"/>
      <c r="C3" s="3"/>
    </row>
    <row r="4" spans="1:7" ht="15" customHeight="1" thickBot="1" x14ac:dyDescent="0.35">
      <c r="A4" s="225" t="s">
        <v>290</v>
      </c>
      <c r="B4" s="226" t="s">
        <v>291</v>
      </c>
      <c r="C4" s="227" t="s">
        <v>292</v>
      </c>
    </row>
    <row r="5" spans="1:7" ht="15" customHeight="1" x14ac:dyDescent="0.2">
      <c r="A5" s="228" t="s">
        <v>6</v>
      </c>
      <c r="B5" s="229"/>
      <c r="C5" s="230" t="str">
        <f>INT((MONTH($B$2))/3)&amp;"Q"&amp;"-"&amp;YEAR($B$2)</f>
        <v>1Q-2023</v>
      </c>
      <c r="D5" s="918" t="str">
        <f>IF(INT(MONTH($B$2))=3, "4"&amp;"Q"&amp;"-"&amp;YEAR($B$2)-1, IF(INT(MONTH($B$2))=6, "1"&amp;"Q"&amp;"-"&amp;YEAR($B$2), IF(INT(MONTH($B$2))=9, "2"&amp;"Q"&amp;"-"&amp;YEAR($B$2),IF(INT(MONTH($B$2))=12, "3"&amp;"Q"&amp;"-"&amp;YEAR($B$2), 0))))</f>
        <v>4Q-2022</v>
      </c>
      <c r="E5" s="230" t="str">
        <f>IF(INT(MONTH($B$2))=3, "3"&amp;"Q"&amp;"-"&amp;YEAR($B$2)-1, IF(INT(MONTH($B$2))=6, "4"&amp;"Q"&amp;"-"&amp;YEAR($B$2)-1, IF(INT(MONTH($B$2))=9, "1"&amp;"Q"&amp;"-"&amp;YEAR($B$2),IF(INT(MONTH($B$2))=12, "2"&amp;"Q"&amp;"-"&amp;YEAR($B$2), 0))))</f>
        <v>3Q-2022</v>
      </c>
      <c r="F5" s="230" t="str">
        <f>IF(INT(MONTH($B$2))=3, "2"&amp;"Q"&amp;"-"&amp;YEAR($B$2)-1, IF(INT(MONTH($B$2))=6, "3"&amp;"Q"&amp;"-"&amp;YEAR($B$2)-1, IF(INT(MONTH($B$2))=9, "4"&amp;"Q"&amp;"-"&amp;YEAR($B$2)-1,IF(INT(MONTH($B$2))=12, "1"&amp;"Q"&amp;"-"&amp;YEAR($B$2), 0))))</f>
        <v>2Q-2022</v>
      </c>
      <c r="G5" s="230" t="str">
        <f>IF(INT(MONTH($B$2))=3, "1"&amp;"Q"&amp;"-"&amp;YEAR($B$2)-1, IF(INT(MONTH($B$2))=6, "2"&amp;"Q"&amp;"-"&amp;YEAR($B$2)-1, IF(INT(MONTH($B$2))=9, "3"&amp;"Q"&amp;"-"&amp;YEAR($B$2)-1,IF(INT(MONTH($B$2))=12, "4"&amp;"Q"&amp;"-"&amp;YEAR($B$2)-1, 0))))</f>
        <v>1Q-2022</v>
      </c>
    </row>
    <row r="6" spans="1:7" ht="15" customHeight="1" x14ac:dyDescent="0.2">
      <c r="A6" s="231">
        <v>1</v>
      </c>
      <c r="B6" s="232" t="s">
        <v>293</v>
      </c>
      <c r="C6" s="233">
        <f>C7+C9+C10</f>
        <v>48673601.495233156</v>
      </c>
      <c r="D6" s="234">
        <f>D7+D9+D10</f>
        <v>52131562.31952107</v>
      </c>
      <c r="E6" s="234">
        <f t="shared" ref="E6:G6" si="0">E7+E9+E10</f>
        <v>62935566.47438737</v>
      </c>
      <c r="F6" s="233">
        <f t="shared" si="0"/>
        <v>49870179.270165876</v>
      </c>
      <c r="G6" s="235">
        <f t="shared" si="0"/>
        <v>61362825.732091621</v>
      </c>
    </row>
    <row r="7" spans="1:7" ht="15" customHeight="1" x14ac:dyDescent="0.2">
      <c r="A7" s="231">
        <v>1.1000000000000001</v>
      </c>
      <c r="B7" s="237" t="s">
        <v>294</v>
      </c>
      <c r="C7" s="238">
        <v>47707923.095233157</v>
      </c>
      <c r="D7" s="919">
        <v>50188501.127521068</v>
      </c>
      <c r="E7" s="238">
        <v>60204254.501187369</v>
      </c>
      <c r="F7" s="238">
        <v>48354890.270165876</v>
      </c>
      <c r="G7" s="239">
        <v>60691045.132091619</v>
      </c>
    </row>
    <row r="8" spans="1:7" ht="27.6" x14ac:dyDescent="0.2">
      <c r="A8" s="231" t="s">
        <v>295</v>
      </c>
      <c r="B8" s="240" t="s">
        <v>296</v>
      </c>
      <c r="C8" s="238"/>
      <c r="D8" s="919"/>
      <c r="E8" s="238"/>
      <c r="F8" s="238"/>
      <c r="G8" s="239"/>
    </row>
    <row r="9" spans="1:7" ht="15" customHeight="1" x14ac:dyDescent="0.2">
      <c r="A9" s="231">
        <v>1.2</v>
      </c>
      <c r="B9" s="237" t="s">
        <v>297</v>
      </c>
      <c r="C9" s="238">
        <v>755104</v>
      </c>
      <c r="D9" s="919">
        <v>1675200</v>
      </c>
      <c r="E9" s="238">
        <v>2531820</v>
      </c>
      <c r="F9" s="238">
        <v>1318789</v>
      </c>
      <c r="G9" s="239">
        <v>510513</v>
      </c>
    </row>
    <row r="10" spans="1:7" ht="15" customHeight="1" x14ac:dyDescent="0.2">
      <c r="A10" s="231">
        <v>1.3</v>
      </c>
      <c r="B10" s="241" t="s">
        <v>298</v>
      </c>
      <c r="C10" s="238">
        <v>210574.4</v>
      </c>
      <c r="D10" s="919">
        <v>267861.19199999998</v>
      </c>
      <c r="E10" s="238">
        <v>199491.97320000001</v>
      </c>
      <c r="F10" s="238">
        <v>196500</v>
      </c>
      <c r="G10" s="239">
        <v>161267.6</v>
      </c>
    </row>
    <row r="11" spans="1:7" ht="15" customHeight="1" x14ac:dyDescent="0.2">
      <c r="A11" s="231">
        <v>2</v>
      </c>
      <c r="B11" s="232" t="s">
        <v>299</v>
      </c>
      <c r="C11" s="238">
        <v>176313.25844009916</v>
      </c>
      <c r="D11" s="919">
        <v>558585.90173394338</v>
      </c>
      <c r="E11" s="238">
        <v>1836150.6559868075</v>
      </c>
      <c r="F11" s="238">
        <v>1404065.7360363398</v>
      </c>
      <c r="G11" s="239">
        <v>6454116.8129517995</v>
      </c>
    </row>
    <row r="12" spans="1:7" ht="15" customHeight="1" x14ac:dyDescent="0.2">
      <c r="A12" s="231">
        <v>3</v>
      </c>
      <c r="B12" s="232" t="s">
        <v>300</v>
      </c>
      <c r="C12" s="238">
        <v>8764146.5926030725</v>
      </c>
      <c r="D12" s="919">
        <v>8764146.5926030725</v>
      </c>
      <c r="E12" s="238">
        <v>10334658.68012852</v>
      </c>
      <c r="F12" s="238">
        <v>10334658.68012852</v>
      </c>
      <c r="G12" s="239">
        <v>9901259.9034860451</v>
      </c>
    </row>
    <row r="13" spans="1:7" ht="15" customHeight="1" thickBot="1" x14ac:dyDescent="0.25">
      <c r="A13" s="242">
        <v>4</v>
      </c>
      <c r="B13" s="243" t="s">
        <v>247</v>
      </c>
      <c r="C13" s="244">
        <f>C6+C11+C12</f>
        <v>57614061.346276328</v>
      </c>
      <c r="D13" s="245">
        <f>D6+D11+D12</f>
        <v>61454294.813858084</v>
      </c>
      <c r="E13" s="245">
        <f t="shared" ref="E13:G13" si="1">E6+E11+E12</f>
        <v>75106375.810502693</v>
      </c>
      <c r="F13" s="244">
        <f t="shared" si="1"/>
        <v>61608903.686330736</v>
      </c>
      <c r="G13" s="246">
        <f t="shared" si="1"/>
        <v>77718202.448529467</v>
      </c>
    </row>
    <row r="14" spans="1:7" x14ac:dyDescent="0.3">
      <c r="B14" s="79"/>
    </row>
    <row r="15" spans="1:7" ht="27.6" x14ac:dyDescent="0.3">
      <c r="B15" s="79" t="s">
        <v>301</v>
      </c>
    </row>
    <row r="16" spans="1:7" x14ac:dyDescent="0.3">
      <c r="B16" s="79"/>
    </row>
    <row r="17" spans="2:2" x14ac:dyDescent="0.3">
      <c r="B17" s="79"/>
    </row>
    <row r="18" spans="2:2" x14ac:dyDescent="0.3">
      <c r="B18" s="7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A1AF-C05B-4723-B112-C6C257B340B1}">
  <dimension ref="A1:C38"/>
  <sheetViews>
    <sheetView showGridLines="0" zoomScaleNormal="100" workbookViewId="0">
      <pane xSplit="1" ySplit="4" topLeftCell="B22" activePane="bottomRight" state="frozen"/>
      <selection activeCell="D1" sqref="D1:D3"/>
      <selection pane="topRight" activeCell="D1" sqref="D1:D3"/>
      <selection pane="bottomLeft" activeCell="D1" sqref="D1:D3"/>
      <selection pane="bottomRight" activeCell="C44" sqref="C44"/>
    </sheetView>
  </sheetViews>
  <sheetFormatPr defaultRowHeight="14.4" x14ac:dyDescent="0.3"/>
  <cols>
    <col min="1" max="1" width="9.5546875" style="4" bestFit="1" customWidth="1"/>
    <col min="2" max="2" width="58.88671875" style="4" customWidth="1"/>
    <col min="3" max="3" width="36.88671875" style="4" customWidth="1"/>
  </cols>
  <sheetData>
    <row r="1" spans="1:3" x14ac:dyDescent="0.3">
      <c r="A1" s="4" t="s">
        <v>0</v>
      </c>
      <c r="B1" s="4" t="s">
        <v>199</v>
      </c>
    </row>
    <row r="2" spans="1:3" x14ac:dyDescent="0.3">
      <c r="A2" s="4" t="s">
        <v>1</v>
      </c>
      <c r="B2" s="5">
        <f>'1. key ratios'!B2</f>
        <v>45016</v>
      </c>
    </row>
    <row r="4" spans="1:3" ht="25.5" customHeight="1" thickBot="1" x14ac:dyDescent="0.35">
      <c r="A4" s="150" t="s">
        <v>153</v>
      </c>
      <c r="B4" s="151" t="s">
        <v>154</v>
      </c>
      <c r="C4" s="152"/>
    </row>
    <row r="5" spans="1:3" x14ac:dyDescent="0.3">
      <c r="A5" s="153"/>
      <c r="B5" s="154" t="s">
        <v>155</v>
      </c>
      <c r="C5" s="155" t="s">
        <v>156</v>
      </c>
    </row>
    <row r="6" spans="1:3" ht="15" x14ac:dyDescent="0.35">
      <c r="A6" s="156">
        <v>1</v>
      </c>
      <c r="B6" s="157" t="s">
        <v>157</v>
      </c>
      <c r="C6" s="158" t="s">
        <v>158</v>
      </c>
    </row>
    <row r="7" spans="1:3" ht="15" x14ac:dyDescent="0.35">
      <c r="A7" s="156">
        <v>2</v>
      </c>
      <c r="B7" s="157" t="s">
        <v>159</v>
      </c>
      <c r="C7" s="158" t="s">
        <v>160</v>
      </c>
    </row>
    <row r="8" spans="1:3" ht="15" x14ac:dyDescent="0.35">
      <c r="A8" s="156">
        <v>3</v>
      </c>
      <c r="B8" s="157" t="s">
        <v>161</v>
      </c>
      <c r="C8" s="158" t="s">
        <v>160</v>
      </c>
    </row>
    <row r="9" spans="1:3" ht="15" x14ac:dyDescent="0.35">
      <c r="A9" s="156">
        <v>4</v>
      </c>
      <c r="B9" s="157" t="s">
        <v>162</v>
      </c>
      <c r="C9" s="158" t="s">
        <v>160</v>
      </c>
    </row>
    <row r="10" spans="1:3" ht="15" x14ac:dyDescent="0.35">
      <c r="A10" s="156">
        <v>5</v>
      </c>
      <c r="B10" s="157" t="s">
        <v>163</v>
      </c>
      <c r="C10" s="158" t="s">
        <v>164</v>
      </c>
    </row>
    <row r="11" spans="1:3" ht="15" x14ac:dyDescent="0.35">
      <c r="A11" s="156">
        <v>6</v>
      </c>
      <c r="B11" s="157" t="s">
        <v>165</v>
      </c>
      <c r="C11" s="158" t="s">
        <v>164</v>
      </c>
    </row>
    <row r="12" spans="1:3" ht="15" x14ac:dyDescent="0.35">
      <c r="A12" s="156"/>
      <c r="B12" s="159"/>
      <c r="C12" s="160"/>
    </row>
    <row r="13" spans="1:3" ht="41.4" x14ac:dyDescent="0.3">
      <c r="A13" s="156"/>
      <c r="B13" s="161" t="s">
        <v>166</v>
      </c>
      <c r="C13" s="162" t="s">
        <v>167</v>
      </c>
    </row>
    <row r="14" spans="1:3" x14ac:dyDescent="0.3">
      <c r="A14" s="156">
        <v>1</v>
      </c>
      <c r="B14" s="163" t="s">
        <v>168</v>
      </c>
      <c r="C14" s="164" t="s">
        <v>169</v>
      </c>
    </row>
    <row r="15" spans="1:3" ht="27.6" x14ac:dyDescent="0.3">
      <c r="A15" s="156">
        <v>2</v>
      </c>
      <c r="B15" s="163" t="s">
        <v>170</v>
      </c>
      <c r="C15" s="165" t="s">
        <v>171</v>
      </c>
    </row>
    <row r="16" spans="1:3" x14ac:dyDescent="0.3">
      <c r="A16" s="156">
        <v>3</v>
      </c>
      <c r="B16" s="163" t="s">
        <v>172</v>
      </c>
      <c r="C16" s="165" t="s">
        <v>173</v>
      </c>
    </row>
    <row r="17" spans="1:3" x14ac:dyDescent="0.3">
      <c r="A17" s="156">
        <v>4</v>
      </c>
      <c r="B17" s="163" t="s">
        <v>174</v>
      </c>
      <c r="C17" s="165" t="s">
        <v>175</v>
      </c>
    </row>
    <row r="18" spans="1:3" x14ac:dyDescent="0.3">
      <c r="A18" s="156">
        <v>5</v>
      </c>
      <c r="B18" s="163" t="s">
        <v>176</v>
      </c>
      <c r="C18" s="165" t="s">
        <v>177</v>
      </c>
    </row>
    <row r="19" spans="1:3" ht="27.6" x14ac:dyDescent="0.3">
      <c r="A19" s="156">
        <v>6</v>
      </c>
      <c r="B19" s="163" t="s">
        <v>178</v>
      </c>
      <c r="C19" s="165" t="s">
        <v>179</v>
      </c>
    </row>
    <row r="20" spans="1:3" x14ac:dyDescent="0.3">
      <c r="A20" s="156">
        <v>7</v>
      </c>
      <c r="B20" s="163" t="s">
        <v>180</v>
      </c>
      <c r="C20" s="165" t="s">
        <v>181</v>
      </c>
    </row>
    <row r="21" spans="1:3" x14ac:dyDescent="0.3">
      <c r="A21" s="156">
        <v>8</v>
      </c>
      <c r="B21" s="163" t="s">
        <v>182</v>
      </c>
      <c r="C21" s="164" t="s">
        <v>183</v>
      </c>
    </row>
    <row r="22" spans="1:3" x14ac:dyDescent="0.3">
      <c r="A22" s="156">
        <v>9</v>
      </c>
      <c r="B22" s="163" t="s">
        <v>184</v>
      </c>
      <c r="C22" s="164" t="s">
        <v>185</v>
      </c>
    </row>
    <row r="23" spans="1:3" ht="15.75" customHeight="1" x14ac:dyDescent="0.3">
      <c r="A23" s="156">
        <v>10</v>
      </c>
      <c r="B23" s="163" t="s">
        <v>186</v>
      </c>
      <c r="C23" s="165" t="s">
        <v>187</v>
      </c>
    </row>
    <row r="24" spans="1:3" ht="15.75" customHeight="1" x14ac:dyDescent="0.3">
      <c r="A24" s="156"/>
      <c r="B24" s="163"/>
      <c r="C24" s="166"/>
    </row>
    <row r="25" spans="1:3" ht="30" customHeight="1" x14ac:dyDescent="0.3">
      <c r="A25" s="156"/>
      <c r="B25" s="167" t="s">
        <v>188</v>
      </c>
      <c r="C25" s="168"/>
    </row>
    <row r="26" spans="1:3" ht="15" x14ac:dyDescent="0.35">
      <c r="A26" s="156">
        <v>1</v>
      </c>
      <c r="B26" s="157" t="s">
        <v>189</v>
      </c>
      <c r="C26" s="169">
        <v>0.59997710000000004</v>
      </c>
    </row>
    <row r="27" spans="1:3" ht="15" x14ac:dyDescent="0.35">
      <c r="A27" s="156">
        <v>2</v>
      </c>
      <c r="B27" s="157" t="s">
        <v>190</v>
      </c>
      <c r="C27" s="169">
        <v>0.37136829999999998</v>
      </c>
    </row>
    <row r="28" spans="1:3" ht="15" x14ac:dyDescent="0.35">
      <c r="A28" s="156">
        <v>3</v>
      </c>
      <c r="B28" s="157" t="s">
        <v>191</v>
      </c>
      <c r="C28" s="169">
        <v>2.8595800000000001E-2</v>
      </c>
    </row>
    <row r="29" spans="1:3" ht="15.75" customHeight="1" x14ac:dyDescent="0.35">
      <c r="A29" s="156"/>
      <c r="B29" s="157"/>
      <c r="C29" s="170"/>
    </row>
    <row r="30" spans="1:3" ht="29.25" customHeight="1" x14ac:dyDescent="0.3">
      <c r="A30" s="156"/>
      <c r="B30" s="167" t="s">
        <v>192</v>
      </c>
      <c r="C30" s="168"/>
    </row>
    <row r="31" spans="1:3" ht="15" x14ac:dyDescent="0.35">
      <c r="A31" s="156">
        <v>1</v>
      </c>
      <c r="B31" s="157" t="s">
        <v>189</v>
      </c>
      <c r="C31" s="171">
        <v>0.59997710000000004</v>
      </c>
    </row>
    <row r="32" spans="1:3" ht="15" x14ac:dyDescent="0.35">
      <c r="A32" s="172">
        <v>1.1000000000000001</v>
      </c>
      <c r="B32" s="173" t="s">
        <v>193</v>
      </c>
      <c r="C32" s="174">
        <v>0.372</v>
      </c>
    </row>
    <row r="33" spans="1:3" ht="15" x14ac:dyDescent="0.35">
      <c r="A33" s="172">
        <v>1.2</v>
      </c>
      <c r="B33" s="173" t="s">
        <v>194</v>
      </c>
      <c r="C33" s="174">
        <v>0.17100000000000001</v>
      </c>
    </row>
    <row r="34" spans="1:3" ht="15" x14ac:dyDescent="0.35">
      <c r="A34" s="172">
        <v>1.3</v>
      </c>
      <c r="B34" s="173" t="s">
        <v>195</v>
      </c>
      <c r="C34" s="174">
        <v>5.7000000000000002E-2</v>
      </c>
    </row>
    <row r="35" spans="1:3" ht="15" x14ac:dyDescent="0.35">
      <c r="A35" s="172">
        <v>2</v>
      </c>
      <c r="B35" s="173" t="s">
        <v>190</v>
      </c>
      <c r="C35" s="174">
        <v>0.37136829999999998</v>
      </c>
    </row>
    <row r="36" spans="1:3" ht="28.8" x14ac:dyDescent="0.35">
      <c r="A36" s="172">
        <v>2.1</v>
      </c>
      <c r="B36" s="173" t="s">
        <v>196</v>
      </c>
      <c r="C36" s="174">
        <v>0.37140000000000001</v>
      </c>
    </row>
    <row r="37" spans="1:3" ht="15" x14ac:dyDescent="0.35">
      <c r="A37" s="175" t="s">
        <v>197</v>
      </c>
      <c r="B37" s="173" t="s">
        <v>198</v>
      </c>
      <c r="C37" s="174">
        <v>0.37140000000000001</v>
      </c>
    </row>
    <row r="38" spans="1:3" ht="15.6" thickBot="1" x14ac:dyDescent="0.4">
      <c r="A38" s="176"/>
      <c r="B38" s="177"/>
      <c r="C38" s="178"/>
    </row>
  </sheetData>
  <mergeCells count="3">
    <mergeCell ref="B12:C12"/>
    <mergeCell ref="B25:C25"/>
    <mergeCell ref="B30:C30"/>
  </mergeCells>
  <dataValidations count="1">
    <dataValidation type="list" allowBlank="1" showInputMessage="1" showErrorMessage="1" sqref="C6:C11" xr:uid="{68338DDA-B378-4160-A8DA-1BC493222C14}">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A784-4F44-4D13-BF7C-D95035CF986E}">
  <dimension ref="A1:G53"/>
  <sheetViews>
    <sheetView zoomScaleNormal="130" workbookViewId="0">
      <pane xSplit="1" ySplit="5" topLeftCell="B19" activePane="bottomRight" state="frozen"/>
      <selection activeCell="D1" sqref="D1:D3"/>
      <selection pane="topRight" activeCell="D1" sqref="D1:D3"/>
      <selection pane="bottomLeft" activeCell="D1" sqref="D1:D3"/>
      <selection pane="bottomRight" activeCell="C8" sqref="C8:E36"/>
    </sheetView>
  </sheetViews>
  <sheetFormatPr defaultRowHeight="14.4" x14ac:dyDescent="0.3"/>
  <cols>
    <col min="1" max="1" width="9.5546875" style="4" bestFit="1" customWidth="1"/>
    <col min="2" max="2" width="47.5546875" style="4" customWidth="1"/>
    <col min="3" max="3" width="28" style="4" customWidth="1"/>
    <col min="4" max="4" width="25.5546875" style="4" customWidth="1"/>
    <col min="5" max="5" width="18.88671875" style="4" customWidth="1"/>
    <col min="6" max="6" width="12" style="247" bestFit="1" customWidth="1"/>
    <col min="7" max="7" width="12.5546875" bestFit="1" customWidth="1"/>
  </cols>
  <sheetData>
    <row r="1" spans="1:6" x14ac:dyDescent="0.3">
      <c r="A1" s="1" t="s">
        <v>0</v>
      </c>
      <c r="B1" s="3" t="s">
        <v>199</v>
      </c>
    </row>
    <row r="2" spans="1:6" s="1" customFormat="1" ht="15.75" customHeight="1" x14ac:dyDescent="0.3">
      <c r="A2" s="1" t="s">
        <v>1</v>
      </c>
      <c r="B2" s="5">
        <f>'1. key ratios'!B2</f>
        <v>45016</v>
      </c>
      <c r="F2" s="248"/>
    </row>
    <row r="3" spans="1:6" s="1" customFormat="1" ht="15.75" customHeight="1" x14ac:dyDescent="0.3">
      <c r="F3" s="248"/>
    </row>
    <row r="4" spans="1:6" s="1" customFormat="1" ht="15.75" customHeight="1" thickBot="1" x14ac:dyDescent="0.35">
      <c r="A4" s="249" t="s">
        <v>302</v>
      </c>
      <c r="B4" s="250" t="s">
        <v>303</v>
      </c>
      <c r="C4" s="251"/>
      <c r="D4" s="251"/>
      <c r="E4" s="252" t="s">
        <v>292</v>
      </c>
      <c r="F4" s="248"/>
    </row>
    <row r="5" spans="1:6" s="258" customFormat="1" ht="17.399999999999999" customHeight="1" x14ac:dyDescent="0.3">
      <c r="A5" s="253"/>
      <c r="B5" s="254"/>
      <c r="C5" s="255" t="s">
        <v>304</v>
      </c>
      <c r="D5" s="255" t="s">
        <v>305</v>
      </c>
      <c r="E5" s="256" t="s">
        <v>306</v>
      </c>
      <c r="F5" s="257"/>
    </row>
    <row r="6" spans="1:6" ht="14.4" customHeight="1" x14ac:dyDescent="0.3">
      <c r="A6" s="259"/>
      <c r="B6" s="260" t="s">
        <v>307</v>
      </c>
      <c r="C6" s="260" t="s">
        <v>308</v>
      </c>
      <c r="D6" s="261" t="s">
        <v>309</v>
      </c>
      <c r="E6" s="262"/>
    </row>
    <row r="7" spans="1:6" ht="99.6" customHeight="1" x14ac:dyDescent="0.3">
      <c r="A7" s="259"/>
      <c r="B7" s="260"/>
      <c r="C7" s="260"/>
      <c r="D7" s="263" t="s">
        <v>310</v>
      </c>
      <c r="E7" s="264" t="s">
        <v>311</v>
      </c>
    </row>
    <row r="8" spans="1:6" ht="22.5" customHeight="1" x14ac:dyDescent="0.3">
      <c r="A8" s="132">
        <v>1</v>
      </c>
      <c r="B8" s="95" t="s">
        <v>56</v>
      </c>
      <c r="C8" s="265">
        <f>SUM(C9:C11)</f>
        <v>12538899.140000004</v>
      </c>
      <c r="D8" s="265">
        <f t="shared" ref="D8:E8" si="0">SUM(D9:D11)</f>
        <v>0</v>
      </c>
      <c r="E8" s="265">
        <f t="shared" si="0"/>
        <v>12538899.140000004</v>
      </c>
      <c r="F8" s="266">
        <f>E8-'2. SOFP'!E7</f>
        <v>0</v>
      </c>
    </row>
    <row r="9" spans="1:6" x14ac:dyDescent="0.3">
      <c r="A9" s="132">
        <v>1.1000000000000001</v>
      </c>
      <c r="B9" s="98" t="s">
        <v>57</v>
      </c>
      <c r="C9" s="265">
        <f>'2. SOFP'!E8</f>
        <v>2571824.58</v>
      </c>
      <c r="D9" s="265"/>
      <c r="E9" s="265">
        <f>C9-D9</f>
        <v>2571824.58</v>
      </c>
    </row>
    <row r="10" spans="1:6" x14ac:dyDescent="0.3">
      <c r="A10" s="132">
        <v>1.2</v>
      </c>
      <c r="B10" s="98" t="s">
        <v>58</v>
      </c>
      <c r="C10" s="265">
        <f>'2. SOFP'!E9</f>
        <v>3491623.1900000027</v>
      </c>
      <c r="D10" s="265"/>
      <c r="E10" s="265">
        <f t="shared" ref="E10:E15" si="1">C10-D10</f>
        <v>3491623.1900000027</v>
      </c>
    </row>
    <row r="11" spans="1:6" x14ac:dyDescent="0.3">
      <c r="A11" s="132">
        <v>1.3</v>
      </c>
      <c r="B11" s="98" t="s">
        <v>59</v>
      </c>
      <c r="C11" s="265">
        <f>'2. SOFP'!E10</f>
        <v>6475451.370000002</v>
      </c>
      <c r="D11" s="265"/>
      <c r="E11" s="265">
        <f t="shared" si="1"/>
        <v>6475451.370000002</v>
      </c>
    </row>
    <row r="12" spans="1:6" x14ac:dyDescent="0.3">
      <c r="A12" s="132">
        <v>2</v>
      </c>
      <c r="B12" s="99" t="s">
        <v>60</v>
      </c>
      <c r="C12" s="265">
        <f>'2. SOFP'!E11</f>
        <v>97346.140285255504</v>
      </c>
      <c r="D12" s="265"/>
      <c r="E12" s="265">
        <f t="shared" si="1"/>
        <v>97346.140285255504</v>
      </c>
      <c r="F12" s="266">
        <f>E12-'2. SOFP'!E11</f>
        <v>0</v>
      </c>
    </row>
    <row r="13" spans="1:6" x14ac:dyDescent="0.3">
      <c r="A13" s="132">
        <v>2.1</v>
      </c>
      <c r="B13" s="100" t="s">
        <v>61</v>
      </c>
      <c r="C13" s="265">
        <f>'2. SOFP'!E12</f>
        <v>97346.140285255504</v>
      </c>
      <c r="D13" s="265"/>
      <c r="E13" s="265">
        <f t="shared" si="1"/>
        <v>97346.140285255504</v>
      </c>
    </row>
    <row r="14" spans="1:6" ht="33.9" customHeight="1" x14ac:dyDescent="0.3">
      <c r="A14" s="132">
        <v>3</v>
      </c>
      <c r="B14" s="101" t="s">
        <v>62</v>
      </c>
      <c r="C14" s="265">
        <f>'2. SOFP'!E13</f>
        <v>0</v>
      </c>
      <c r="D14" s="265"/>
      <c r="E14" s="265">
        <f t="shared" si="1"/>
        <v>0</v>
      </c>
    </row>
    <row r="15" spans="1:6" ht="32.4" customHeight="1" x14ac:dyDescent="0.3">
      <c r="A15" s="132">
        <v>4</v>
      </c>
      <c r="B15" s="102" t="s">
        <v>63</v>
      </c>
      <c r="C15" s="265">
        <f>'2. SOFP'!E14</f>
        <v>0</v>
      </c>
      <c r="D15" s="265"/>
      <c r="E15" s="265">
        <f t="shared" si="1"/>
        <v>0</v>
      </c>
    </row>
    <row r="16" spans="1:6" ht="23.1" customHeight="1" x14ac:dyDescent="0.3">
      <c r="A16" s="132">
        <v>5</v>
      </c>
      <c r="B16" s="102" t="s">
        <v>64</v>
      </c>
      <c r="C16" s="265">
        <f>SUM(C17:C19)</f>
        <v>20000</v>
      </c>
      <c r="D16" s="265">
        <f t="shared" ref="D16:E16" si="2">SUM(D17:D19)</f>
        <v>0</v>
      </c>
      <c r="E16" s="265">
        <f t="shared" si="2"/>
        <v>20000</v>
      </c>
      <c r="F16" s="266">
        <f>E16-'2. SOFP'!E15</f>
        <v>0</v>
      </c>
    </row>
    <row r="17" spans="1:6" x14ac:dyDescent="0.3">
      <c r="A17" s="132">
        <v>5.0999999999999996</v>
      </c>
      <c r="B17" s="105" t="s">
        <v>65</v>
      </c>
      <c r="C17" s="265">
        <f>'2. SOFP'!E16</f>
        <v>20000</v>
      </c>
      <c r="D17" s="265"/>
      <c r="E17" s="265">
        <f>C17-D17</f>
        <v>20000</v>
      </c>
    </row>
    <row r="18" spans="1:6" x14ac:dyDescent="0.3">
      <c r="A18" s="132">
        <v>5.2</v>
      </c>
      <c r="B18" s="105" t="s">
        <v>66</v>
      </c>
      <c r="C18" s="265">
        <f>'2. SOFP'!E17</f>
        <v>0</v>
      </c>
      <c r="D18" s="265"/>
      <c r="E18" s="265">
        <f t="shared" ref="E18:E19" si="3">C18-D18</f>
        <v>0</v>
      </c>
    </row>
    <row r="19" spans="1:6" x14ac:dyDescent="0.3">
      <c r="A19" s="132">
        <v>5.3</v>
      </c>
      <c r="B19" s="105" t="s">
        <v>67</v>
      </c>
      <c r="C19" s="265">
        <f>'2. SOFP'!E18</f>
        <v>0</v>
      </c>
      <c r="D19" s="265"/>
      <c r="E19" s="265">
        <f t="shared" si="3"/>
        <v>0</v>
      </c>
    </row>
    <row r="20" spans="1:6" ht="20.399999999999999" x14ac:dyDescent="0.3">
      <c r="A20" s="132">
        <v>6</v>
      </c>
      <c r="B20" s="101" t="s">
        <v>68</v>
      </c>
      <c r="C20" s="265">
        <f>SUM(C21:C22)</f>
        <v>42383627.237445354</v>
      </c>
      <c r="D20" s="265">
        <f t="shared" ref="D20:E20" si="4">SUM(D21:D22)</f>
        <v>0</v>
      </c>
      <c r="E20" s="265">
        <f t="shared" si="4"/>
        <v>42383627.237445354</v>
      </c>
      <c r="F20" s="266">
        <f>E20-'2. SOFP'!E19</f>
        <v>0</v>
      </c>
    </row>
    <row r="21" spans="1:6" x14ac:dyDescent="0.3">
      <c r="A21" s="132">
        <v>6.1</v>
      </c>
      <c r="B21" s="105" t="s">
        <v>66</v>
      </c>
      <c r="C21" s="267">
        <f>'2. SOFP'!E20</f>
        <v>24839873.318004835</v>
      </c>
      <c r="D21" s="267"/>
      <c r="E21" s="267">
        <f>C21-D21</f>
        <v>24839873.318004835</v>
      </c>
    </row>
    <row r="22" spans="1:6" x14ac:dyDescent="0.3">
      <c r="A22" s="132">
        <v>6.2</v>
      </c>
      <c r="B22" s="105" t="s">
        <v>67</v>
      </c>
      <c r="C22" s="267">
        <f>'2. SOFP'!E21</f>
        <v>17543753.919440515</v>
      </c>
      <c r="D22" s="267"/>
      <c r="E22" s="267">
        <f t="shared" ref="E22:E24" si="5">C22-D22</f>
        <v>17543753.919440515</v>
      </c>
    </row>
    <row r="23" spans="1:6" ht="20.399999999999999" x14ac:dyDescent="0.3">
      <c r="A23" s="132">
        <v>7</v>
      </c>
      <c r="B23" s="106" t="s">
        <v>69</v>
      </c>
      <c r="C23" s="267">
        <f>'2. SOFP'!E22</f>
        <v>0</v>
      </c>
      <c r="D23" s="267"/>
      <c r="E23" s="267">
        <f t="shared" si="5"/>
        <v>0</v>
      </c>
    </row>
    <row r="24" spans="1:6" ht="20.399999999999999" x14ac:dyDescent="0.3">
      <c r="A24" s="132">
        <v>8</v>
      </c>
      <c r="B24" s="107" t="s">
        <v>70</v>
      </c>
      <c r="C24" s="267">
        <f>'2. SOFP'!E23</f>
        <v>3389411.9415073614</v>
      </c>
      <c r="D24" s="267"/>
      <c r="E24" s="267">
        <f t="shared" si="5"/>
        <v>3389411.9415073614</v>
      </c>
      <c r="F24" s="266">
        <f>E24-'2. SOFP'!E23</f>
        <v>0</v>
      </c>
    </row>
    <row r="25" spans="1:6" x14ac:dyDescent="0.3">
      <c r="A25" s="132">
        <v>9</v>
      </c>
      <c r="B25" s="102" t="s">
        <v>71</v>
      </c>
      <c r="C25" s="267">
        <f>SUM(C26:C27)</f>
        <v>19175030.120000005</v>
      </c>
      <c r="D25" s="267">
        <f t="shared" ref="D25:E25" si="6">SUM(D26:D27)</f>
        <v>0</v>
      </c>
      <c r="E25" s="267">
        <f t="shared" si="6"/>
        <v>19175030.120000005</v>
      </c>
      <c r="F25" s="266">
        <f>E25-'2. SOFP'!E24</f>
        <v>0</v>
      </c>
    </row>
    <row r="26" spans="1:6" x14ac:dyDescent="0.3">
      <c r="A26" s="132">
        <v>9.1</v>
      </c>
      <c r="B26" s="108" t="s">
        <v>72</v>
      </c>
      <c r="C26" s="267">
        <f>'2. SOFP'!E25</f>
        <v>19175030.120000005</v>
      </c>
      <c r="D26" s="267"/>
      <c r="E26" s="267">
        <f>C26-D26</f>
        <v>19175030.120000005</v>
      </c>
    </row>
    <row r="27" spans="1:6" x14ac:dyDescent="0.3">
      <c r="A27" s="132">
        <v>9.1999999999999993</v>
      </c>
      <c r="B27" s="108" t="s">
        <v>73</v>
      </c>
      <c r="C27" s="267">
        <f>'2. SOFP'!E26</f>
        <v>0</v>
      </c>
      <c r="D27" s="267"/>
      <c r="E27" s="267">
        <f>C27-D27</f>
        <v>0</v>
      </c>
    </row>
    <row r="28" spans="1:6" x14ac:dyDescent="0.3">
      <c r="A28" s="132">
        <v>10</v>
      </c>
      <c r="B28" s="102" t="s">
        <v>74</v>
      </c>
      <c r="C28" s="267">
        <f>SUM(C29:C30)</f>
        <v>776498.50000000023</v>
      </c>
      <c r="D28" s="267">
        <f t="shared" ref="D28:E28" si="7">SUM(D29:D30)</f>
        <v>776498.50000000023</v>
      </c>
      <c r="E28" s="267">
        <f t="shared" si="7"/>
        <v>0</v>
      </c>
      <c r="F28" s="266">
        <f>C28-'2. SOFP'!E27</f>
        <v>0</v>
      </c>
    </row>
    <row r="29" spans="1:6" x14ac:dyDescent="0.3">
      <c r="A29" s="132">
        <v>10.1</v>
      </c>
      <c r="B29" s="108" t="s">
        <v>75</v>
      </c>
      <c r="C29" s="267">
        <f>'2. SOFP'!E28</f>
        <v>0</v>
      </c>
      <c r="D29" s="267"/>
      <c r="E29" s="267">
        <f>C29-D29</f>
        <v>0</v>
      </c>
    </row>
    <row r="30" spans="1:6" x14ac:dyDescent="0.3">
      <c r="A30" s="132">
        <v>10.199999999999999</v>
      </c>
      <c r="B30" s="108" t="s">
        <v>76</v>
      </c>
      <c r="C30" s="267">
        <f>'2. SOFP'!E29</f>
        <v>776498.50000000023</v>
      </c>
      <c r="D30" s="267">
        <f>C30</f>
        <v>776498.50000000023</v>
      </c>
      <c r="E30" s="267">
        <f>C30-D30</f>
        <v>0</v>
      </c>
    </row>
    <row r="31" spans="1:6" x14ac:dyDescent="0.3">
      <c r="A31" s="132">
        <v>11</v>
      </c>
      <c r="B31" s="102" t="s">
        <v>77</v>
      </c>
      <c r="C31" s="267">
        <f>SUM(C32:C33)</f>
        <v>45248.5</v>
      </c>
      <c r="D31" s="267">
        <f t="shared" ref="D31:E31" si="8">SUM(D32:D33)</f>
        <v>0</v>
      </c>
      <c r="E31" s="267">
        <f t="shared" si="8"/>
        <v>45248.5</v>
      </c>
      <c r="F31" s="266">
        <f>E31-'2. SOFP'!E30</f>
        <v>0</v>
      </c>
    </row>
    <row r="32" spans="1:6" x14ac:dyDescent="0.3">
      <c r="A32" s="132">
        <v>11.1</v>
      </c>
      <c r="B32" s="108" t="s">
        <v>78</v>
      </c>
      <c r="C32" s="267">
        <f>'2. SOFP'!E31</f>
        <v>45248.5</v>
      </c>
      <c r="D32" s="267"/>
      <c r="E32" s="267">
        <f>C32-D32</f>
        <v>45248.5</v>
      </c>
    </row>
    <row r="33" spans="1:7" x14ac:dyDescent="0.3">
      <c r="A33" s="132">
        <v>11.2</v>
      </c>
      <c r="B33" s="108" t="s">
        <v>79</v>
      </c>
      <c r="C33" s="267">
        <f>'2. SOFP'!E32</f>
        <v>0</v>
      </c>
      <c r="D33" s="267"/>
      <c r="E33" s="267">
        <f t="shared" ref="E33:E36" si="9">C33-D33</f>
        <v>0</v>
      </c>
    </row>
    <row r="34" spans="1:7" x14ac:dyDescent="0.3">
      <c r="A34" s="132">
        <v>13</v>
      </c>
      <c r="B34" s="102" t="s">
        <v>80</v>
      </c>
      <c r="C34" s="267">
        <f>'2. SOFP'!E33</f>
        <v>1069351.5</v>
      </c>
      <c r="D34" s="267"/>
      <c r="E34" s="267">
        <f t="shared" si="9"/>
        <v>1069351.5</v>
      </c>
      <c r="F34" s="266">
        <f>E34-'2. SOFP'!E33</f>
        <v>0</v>
      </c>
    </row>
    <row r="35" spans="1:7" x14ac:dyDescent="0.3">
      <c r="A35" s="132">
        <v>13.1</v>
      </c>
      <c r="B35" s="109" t="s">
        <v>81</v>
      </c>
      <c r="C35" s="267">
        <f>'2. SOFP'!E34</f>
        <v>0</v>
      </c>
      <c r="D35" s="267"/>
      <c r="E35" s="267">
        <f t="shared" si="9"/>
        <v>0</v>
      </c>
    </row>
    <row r="36" spans="1:7" x14ac:dyDescent="0.3">
      <c r="A36" s="132">
        <v>13.2</v>
      </c>
      <c r="B36" s="109" t="s">
        <v>82</v>
      </c>
      <c r="C36" s="267">
        <f>'2. SOFP'!E35</f>
        <v>0</v>
      </c>
      <c r="D36" s="267"/>
      <c r="E36" s="267">
        <f t="shared" si="9"/>
        <v>0</v>
      </c>
    </row>
    <row r="37" spans="1:7" ht="42" thickBot="1" x14ac:dyDescent="0.35">
      <c r="A37" s="268"/>
      <c r="B37" s="269" t="s">
        <v>312</v>
      </c>
      <c r="C37" s="270">
        <f>SUM(C8,C12,C14,C15,C16,C20,C23,C24,C25,C28,C31,C34)</f>
        <v>79495413.079237983</v>
      </c>
      <c r="D37" s="270">
        <f t="shared" ref="D37:E37" si="10">SUM(D8,D12,D14,D15,D16,D20,D23,D24,D25,D28,D31,D34)</f>
        <v>776498.50000000023</v>
      </c>
      <c r="E37" s="270">
        <f t="shared" si="10"/>
        <v>78718914.579237983</v>
      </c>
    </row>
    <row r="38" spans="1:7" x14ac:dyDescent="0.3">
      <c r="A38"/>
      <c r="B38"/>
      <c r="C38"/>
      <c r="D38"/>
      <c r="E38"/>
    </row>
    <row r="39" spans="1:7" s="247" customFormat="1" x14ac:dyDescent="0.3"/>
    <row r="40" spans="1:7" x14ac:dyDescent="0.3">
      <c r="C40" s="247"/>
      <c r="D40"/>
      <c r="E40"/>
      <c r="F40"/>
    </row>
    <row r="41" spans="1:7" s="4" customFormat="1" x14ac:dyDescent="0.3">
      <c r="B41" s="271"/>
      <c r="F41" s="247"/>
      <c r="G41"/>
    </row>
    <row r="42" spans="1:7" s="4" customFormat="1" x14ac:dyDescent="0.3">
      <c r="B42" s="272"/>
      <c r="F42" s="247"/>
      <c r="G42"/>
    </row>
    <row r="43" spans="1:7" s="4" customFormat="1" x14ac:dyDescent="0.3">
      <c r="B43" s="271"/>
      <c r="F43" s="247"/>
      <c r="G43"/>
    </row>
    <row r="44" spans="1:7" s="4" customFormat="1" x14ac:dyDescent="0.3">
      <c r="B44" s="271"/>
      <c r="F44" s="247"/>
      <c r="G44"/>
    </row>
    <row r="45" spans="1:7" s="4" customFormat="1" x14ac:dyDescent="0.3">
      <c r="B45" s="271"/>
      <c r="F45" s="247"/>
      <c r="G45"/>
    </row>
    <row r="46" spans="1:7" s="4" customFormat="1" x14ac:dyDescent="0.3">
      <c r="B46" s="271"/>
      <c r="F46" s="247"/>
      <c r="G46"/>
    </row>
    <row r="47" spans="1:7" s="4" customFormat="1" x14ac:dyDescent="0.3">
      <c r="B47" s="271"/>
      <c r="F47" s="247"/>
      <c r="G47"/>
    </row>
    <row r="48" spans="1:7" s="4" customFormat="1" x14ac:dyDescent="0.3">
      <c r="B48" s="272"/>
      <c r="F48" s="247"/>
      <c r="G48"/>
    </row>
    <row r="49" spans="2:7" s="4" customFormat="1" x14ac:dyDescent="0.3">
      <c r="B49" s="272"/>
      <c r="F49" s="247"/>
      <c r="G49"/>
    </row>
    <row r="50" spans="2:7" s="4" customFormat="1" x14ac:dyDescent="0.3">
      <c r="B50" s="272"/>
      <c r="F50" s="247"/>
      <c r="G50"/>
    </row>
    <row r="51" spans="2:7" s="4" customFormat="1" x14ac:dyDescent="0.3">
      <c r="B51" s="272"/>
      <c r="F51" s="247"/>
      <c r="G51"/>
    </row>
    <row r="52" spans="2:7" s="4" customFormat="1" x14ac:dyDescent="0.3">
      <c r="B52" s="272"/>
      <c r="F52" s="247"/>
      <c r="G52"/>
    </row>
    <row r="53" spans="2:7" s="4" customFormat="1" x14ac:dyDescent="0.3">
      <c r="B53" s="272"/>
      <c r="F53" s="247"/>
      <c r="G53"/>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C74C-A662-48C5-BAAF-89604D5E098E}">
  <dimension ref="A1:I33"/>
  <sheetViews>
    <sheetView zoomScaleNormal="100" workbookViewId="0">
      <pane xSplit="1" ySplit="4" topLeftCell="B5" activePane="bottomRight" state="frozen"/>
      <selection activeCell="D1" sqref="D1:D3"/>
      <selection pane="topRight" activeCell="D1" sqref="D1:D3"/>
      <selection pane="bottomLeft" activeCell="D1" sqref="D1:D3"/>
      <selection pane="bottomRight" activeCell="C9" sqref="C9:C12"/>
    </sheetView>
  </sheetViews>
  <sheetFormatPr defaultRowHeight="14.4" outlineLevelRow="1" x14ac:dyDescent="0.3"/>
  <cols>
    <col min="1" max="1" width="9.5546875" style="4" bestFit="1" customWidth="1"/>
    <col min="2" max="2" width="114.33203125" style="4" customWidth="1"/>
    <col min="3" max="3" width="18.88671875" customWidth="1"/>
    <col min="4" max="4" width="25.44140625" style="920" customWidth="1"/>
    <col min="5" max="5" width="24.33203125" style="920" customWidth="1"/>
    <col min="6" max="6" width="24" style="913" customWidth="1"/>
    <col min="7" max="7" width="10" bestFit="1" customWidth="1"/>
    <col min="8" max="8" width="12" bestFit="1" customWidth="1"/>
    <col min="9" max="9" width="12.5546875" bestFit="1" customWidth="1"/>
  </cols>
  <sheetData>
    <row r="1" spans="1:6" x14ac:dyDescent="0.3">
      <c r="A1" s="1" t="s">
        <v>0</v>
      </c>
      <c r="B1" s="3" t="s">
        <v>199</v>
      </c>
    </row>
    <row r="2" spans="1:6" s="1" customFormat="1" ht="15.75" customHeight="1" x14ac:dyDescent="0.3">
      <c r="A2" s="1" t="s">
        <v>1</v>
      </c>
      <c r="B2" s="5">
        <f>'1. key ratios'!B2</f>
        <v>45016</v>
      </c>
      <c r="C2"/>
      <c r="D2" s="920"/>
      <c r="E2" s="920"/>
      <c r="F2" s="913"/>
    </row>
    <row r="3" spans="1:6" s="1" customFormat="1" ht="15.75" customHeight="1" x14ac:dyDescent="0.3">
      <c r="C3"/>
      <c r="D3" s="920"/>
      <c r="E3" s="920"/>
      <c r="F3" s="913"/>
    </row>
    <row r="4" spans="1:6" s="1" customFormat="1" ht="28.2" thickBot="1" x14ac:dyDescent="0.35">
      <c r="A4" s="1" t="s">
        <v>313</v>
      </c>
      <c r="B4" s="273" t="s">
        <v>314</v>
      </c>
      <c r="C4" s="252" t="s">
        <v>292</v>
      </c>
      <c r="D4" s="920"/>
      <c r="E4" s="920"/>
      <c r="F4" s="913"/>
    </row>
    <row r="5" spans="1:6" x14ac:dyDescent="0.3">
      <c r="A5" s="274">
        <v>1</v>
      </c>
      <c r="B5" s="275" t="s">
        <v>315</v>
      </c>
      <c r="C5" s="276">
        <f>'7. LI1'!E37</f>
        <v>78718914.579237983</v>
      </c>
      <c r="D5" s="914"/>
      <c r="E5" s="914"/>
    </row>
    <row r="6" spans="1:6" x14ac:dyDescent="0.3">
      <c r="A6" s="277">
        <v>2.1</v>
      </c>
      <c r="B6" s="278" t="s">
        <v>316</v>
      </c>
      <c r="C6" s="279">
        <f>'4. Off-balance'!E27+'4. Off-balance'!E28</f>
        <v>3382067.87</v>
      </c>
      <c r="D6" s="914"/>
      <c r="E6" s="914"/>
    </row>
    <row r="7" spans="1:6" s="191" customFormat="1" ht="27.6" outlineLevel="1" x14ac:dyDescent="0.3">
      <c r="A7" s="280">
        <v>2.2000000000000002</v>
      </c>
      <c r="B7" s="281" t="s">
        <v>317</v>
      </c>
      <c r="C7" s="282">
        <f>'4. Off-balance'!E32</f>
        <v>10528720</v>
      </c>
      <c r="D7" s="921"/>
      <c r="E7" s="921"/>
      <c r="F7" s="922"/>
    </row>
    <row r="8" spans="1:6" s="191" customFormat="1" ht="27.6" x14ac:dyDescent="0.3">
      <c r="A8" s="280">
        <v>3</v>
      </c>
      <c r="B8" s="283" t="s">
        <v>318</v>
      </c>
      <c r="C8" s="284">
        <f>SUM(C5:C7)</f>
        <v>92629702.449237987</v>
      </c>
      <c r="D8" s="921"/>
      <c r="E8" s="921"/>
      <c r="F8" s="922"/>
    </row>
    <row r="9" spans="1:6" x14ac:dyDescent="0.3">
      <c r="A9" s="277">
        <v>4</v>
      </c>
      <c r="B9" s="285" t="s">
        <v>319</v>
      </c>
      <c r="C9" s="279">
        <v>0</v>
      </c>
      <c r="D9" s="914"/>
      <c r="E9" s="914"/>
    </row>
    <row r="10" spans="1:6" s="191" customFormat="1" ht="27.6" outlineLevel="1" x14ac:dyDescent="0.3">
      <c r="A10" s="280">
        <v>5.0999999999999996</v>
      </c>
      <c r="B10" s="281" t="s">
        <v>320</v>
      </c>
      <c r="C10" s="282">
        <f>-C6+'5. RWA'!C9</f>
        <v>-2626963.87</v>
      </c>
      <c r="D10" s="921"/>
      <c r="E10" s="921"/>
      <c r="F10" s="922"/>
    </row>
    <row r="11" spans="1:6" s="191" customFormat="1" ht="27.6" outlineLevel="1" x14ac:dyDescent="0.3">
      <c r="A11" s="280">
        <v>5.2</v>
      </c>
      <c r="B11" s="281" t="s">
        <v>321</v>
      </c>
      <c r="C11" s="282">
        <f>-C7+'5. RWA'!C10</f>
        <v>-10318145.6</v>
      </c>
      <c r="D11" s="921"/>
      <c r="E11" s="921"/>
      <c r="F11" s="922"/>
    </row>
    <row r="12" spans="1:6" s="191" customFormat="1" x14ac:dyDescent="0.3">
      <c r="A12" s="280">
        <v>6</v>
      </c>
      <c r="B12" s="286" t="s">
        <v>322</v>
      </c>
      <c r="C12" s="282"/>
      <c r="D12" s="921"/>
      <c r="E12" s="921"/>
      <c r="F12" s="922"/>
    </row>
    <row r="13" spans="1:6" s="191" customFormat="1" ht="15" thickBot="1" x14ac:dyDescent="0.35">
      <c r="A13" s="287">
        <v>7</v>
      </c>
      <c r="B13" s="288" t="s">
        <v>323</v>
      </c>
      <c r="C13" s="289">
        <f>SUM(C8:C12)</f>
        <v>79684592.979237989</v>
      </c>
      <c r="D13" s="921"/>
      <c r="E13" s="921"/>
      <c r="F13" s="922"/>
    </row>
    <row r="15" spans="1:6" ht="27.6" x14ac:dyDescent="0.3">
      <c r="B15" s="79" t="s">
        <v>324</v>
      </c>
    </row>
    <row r="17" spans="2:9" s="4" customFormat="1" x14ac:dyDescent="0.3">
      <c r="B17" s="290"/>
      <c r="C17"/>
      <c r="D17" s="920"/>
      <c r="E17" s="920"/>
      <c r="F17" s="913"/>
      <c r="G17"/>
      <c r="H17"/>
      <c r="I17"/>
    </row>
    <row r="18" spans="2:9" s="4" customFormat="1" x14ac:dyDescent="0.3">
      <c r="B18" s="291"/>
      <c r="C18"/>
      <c r="D18" s="920"/>
      <c r="E18" s="920"/>
      <c r="F18" s="913"/>
      <c r="G18"/>
      <c r="H18"/>
      <c r="I18"/>
    </row>
    <row r="19" spans="2:9" s="4" customFormat="1" x14ac:dyDescent="0.3">
      <c r="B19" s="291"/>
      <c r="C19"/>
      <c r="D19" s="920"/>
      <c r="E19" s="920"/>
      <c r="F19" s="913"/>
      <c r="G19"/>
      <c r="H19"/>
      <c r="I19"/>
    </row>
    <row r="20" spans="2:9" s="4" customFormat="1" x14ac:dyDescent="0.3">
      <c r="B20" s="272"/>
      <c r="C20"/>
      <c r="D20" s="920"/>
      <c r="E20" s="920"/>
      <c r="F20" s="913"/>
      <c r="G20"/>
      <c r="H20"/>
      <c r="I20"/>
    </row>
    <row r="21" spans="2:9" s="4" customFormat="1" x14ac:dyDescent="0.3">
      <c r="B21" s="271"/>
      <c r="C21"/>
      <c r="D21" s="920"/>
      <c r="E21" s="920"/>
      <c r="F21" s="913"/>
      <c r="G21"/>
      <c r="H21"/>
      <c r="I21"/>
    </row>
    <row r="22" spans="2:9" s="4" customFormat="1" x14ac:dyDescent="0.3">
      <c r="B22" s="272"/>
      <c r="C22"/>
      <c r="D22" s="920"/>
      <c r="E22" s="920"/>
      <c r="F22" s="913"/>
      <c r="G22"/>
      <c r="H22"/>
      <c r="I22"/>
    </row>
    <row r="23" spans="2:9" s="4" customFormat="1" x14ac:dyDescent="0.3">
      <c r="B23" s="271"/>
      <c r="C23"/>
      <c r="D23" s="920"/>
      <c r="E23" s="920"/>
      <c r="F23" s="913"/>
      <c r="G23"/>
      <c r="H23"/>
      <c r="I23"/>
    </row>
    <row r="24" spans="2:9" s="4" customFormat="1" x14ac:dyDescent="0.3">
      <c r="B24" s="271"/>
      <c r="C24"/>
      <c r="D24" s="920"/>
      <c r="E24" s="920"/>
      <c r="F24" s="913"/>
      <c r="G24"/>
      <c r="H24"/>
      <c r="I24"/>
    </row>
    <row r="25" spans="2:9" s="4" customFormat="1" x14ac:dyDescent="0.3">
      <c r="B25" s="271"/>
      <c r="C25"/>
      <c r="D25" s="920"/>
      <c r="E25" s="920"/>
      <c r="F25" s="913"/>
      <c r="G25"/>
      <c r="H25"/>
      <c r="I25"/>
    </row>
    <row r="26" spans="2:9" s="4" customFormat="1" x14ac:dyDescent="0.3">
      <c r="B26" s="271"/>
      <c r="C26"/>
      <c r="D26" s="920"/>
      <c r="E26" s="920"/>
      <c r="F26" s="913"/>
      <c r="G26"/>
      <c r="H26"/>
      <c r="I26"/>
    </row>
    <row r="27" spans="2:9" s="4" customFormat="1" x14ac:dyDescent="0.3">
      <c r="B27" s="271"/>
      <c r="C27"/>
      <c r="D27" s="920"/>
      <c r="E27" s="920"/>
      <c r="F27" s="913"/>
      <c r="G27"/>
      <c r="H27"/>
      <c r="I27"/>
    </row>
    <row r="28" spans="2:9" s="4" customFormat="1" x14ac:dyDescent="0.3">
      <c r="B28" s="272"/>
      <c r="C28"/>
      <c r="D28" s="920"/>
      <c r="E28" s="920"/>
      <c r="F28" s="913"/>
      <c r="G28"/>
      <c r="H28"/>
      <c r="I28"/>
    </row>
    <row r="29" spans="2:9" s="4" customFormat="1" x14ac:dyDescent="0.3">
      <c r="B29" s="272"/>
      <c r="C29"/>
      <c r="D29" s="920"/>
      <c r="E29" s="920"/>
      <c r="F29" s="913"/>
      <c r="G29"/>
      <c r="H29"/>
      <c r="I29"/>
    </row>
    <row r="30" spans="2:9" s="4" customFormat="1" x14ac:dyDescent="0.3">
      <c r="B30" s="272"/>
      <c r="C30"/>
      <c r="D30" s="920"/>
      <c r="E30" s="920"/>
      <c r="F30" s="913"/>
      <c r="G30"/>
      <c r="H30"/>
      <c r="I30"/>
    </row>
    <row r="31" spans="2:9" s="4" customFormat="1" x14ac:dyDescent="0.3">
      <c r="B31" s="272"/>
      <c r="C31"/>
      <c r="D31" s="920"/>
      <c r="E31" s="920"/>
      <c r="F31" s="913"/>
      <c r="G31"/>
      <c r="H31"/>
      <c r="I31"/>
    </row>
    <row r="32" spans="2:9" s="4" customFormat="1" x14ac:dyDescent="0.3">
      <c r="B32" s="272"/>
      <c r="C32"/>
      <c r="D32" s="920"/>
      <c r="E32" s="920"/>
      <c r="F32" s="913"/>
      <c r="G32"/>
      <c r="H32"/>
      <c r="I32"/>
    </row>
    <row r="33" spans="2:9" s="4" customFormat="1" x14ac:dyDescent="0.3">
      <c r="B33" s="272"/>
      <c r="C33"/>
      <c r="D33" s="920"/>
      <c r="E33" s="920"/>
      <c r="F33" s="913"/>
      <c r="G33"/>
      <c r="H33"/>
      <c r="I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lpstr>Instruction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2023-05-15T16:06:25Z</dcterms:created>
  <dcterms:modified xsi:type="dcterms:W3CDTF">2023-05-15T17:08:50Z</dcterms:modified>
</cp:coreProperties>
</file>