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i.potskhverashvili\Desktop\F\Pillar 3\Iq 2024\"/>
    </mc:Choice>
  </mc:AlternateContent>
  <xr:revisionPtr revIDLastSave="0" documentId="13_ncr:1_{3148AF8A-F37D-483E-82D2-8BFF5451D697}" xr6:coauthVersionLast="47" xr6:coauthVersionMax="47" xr10:uidLastSave="{00000000-0000-0000-0000-000000000000}"/>
  <bookViews>
    <workbookView xWindow="-120" yWindow="-120" windowWidth="29040" windowHeight="15840" tabRatio="881" firstSheet="16" activeTab="28" xr2:uid="{43C657FA-E5B7-4095-A396-3A8AFF0A9B89}"/>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Capital'!$A$5:$F$53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9" l="1"/>
  <c r="I20" i="29"/>
  <c r="N18" i="29"/>
  <c r="I18" i="29"/>
  <c r="D18" i="29"/>
  <c r="N17" i="29"/>
  <c r="I17" i="29"/>
  <c r="D17" i="29"/>
  <c r="N16" i="29"/>
  <c r="I16" i="29"/>
  <c r="D16" i="29"/>
  <c r="N15" i="29"/>
  <c r="I15" i="29"/>
  <c r="D15" i="29"/>
  <c r="N14" i="29"/>
  <c r="I14" i="29"/>
  <c r="D14" i="29"/>
  <c r="N13" i="29"/>
  <c r="I13" i="29"/>
  <c r="D13" i="29"/>
  <c r="N12" i="29"/>
  <c r="I12" i="29"/>
  <c r="D12" i="29"/>
  <c r="N11" i="29"/>
  <c r="I11" i="29"/>
  <c r="F19" i="29"/>
  <c r="D11" i="29"/>
  <c r="N10" i="29"/>
  <c r="I10" i="29"/>
  <c r="D10" i="29"/>
  <c r="N9" i="29"/>
  <c r="I9" i="29"/>
  <c r="D9" i="29"/>
  <c r="N8" i="29"/>
  <c r="I8" i="29"/>
  <c r="D8" i="29"/>
  <c r="Q19" i="29"/>
  <c r="O19" i="29"/>
  <c r="L19" i="29"/>
  <c r="J19" i="29"/>
  <c r="G19" i="29"/>
  <c r="E19" i="29"/>
  <c r="C2" i="29"/>
  <c r="C1" i="29"/>
  <c r="B2" i="28"/>
  <c r="B1" i="28"/>
  <c r="L33" i="27"/>
  <c r="K33" i="27"/>
  <c r="J33" i="27"/>
  <c r="I33" i="27"/>
  <c r="H33" i="27"/>
  <c r="F33" i="27"/>
  <c r="E33" i="27"/>
  <c r="D33" i="27"/>
  <c r="G7" i="27"/>
  <c r="G33" i="27" s="1"/>
  <c r="B2" i="27"/>
  <c r="B1" i="27"/>
  <c r="C20" i="26"/>
  <c r="C19" i="26"/>
  <c r="C18" i="26"/>
  <c r="S16" i="26"/>
  <c r="P16" i="26"/>
  <c r="O16" i="26"/>
  <c r="L16" i="26"/>
  <c r="K16" i="26"/>
  <c r="H16" i="26"/>
  <c r="G16" i="26"/>
  <c r="D16" i="26"/>
  <c r="C17" i="26"/>
  <c r="C16" i="26" s="1"/>
  <c r="R16" i="26"/>
  <c r="Q16" i="26"/>
  <c r="N16" i="26"/>
  <c r="M16" i="26"/>
  <c r="J16" i="26"/>
  <c r="I16" i="26"/>
  <c r="F16" i="26"/>
  <c r="E16" i="26"/>
  <c r="B2" i="26"/>
  <c r="B1" i="26"/>
  <c r="C17" i="25"/>
  <c r="C15" i="25" s="1"/>
  <c r="D15" i="25"/>
  <c r="Q8" i="25"/>
  <c r="N8" i="25"/>
  <c r="C12" i="25"/>
  <c r="C11" i="25"/>
  <c r="C10" i="25"/>
  <c r="C9" i="25"/>
  <c r="AA8" i="25"/>
  <c r="Z8" i="25"/>
  <c r="Y8" i="25"/>
  <c r="X8" i="25"/>
  <c r="W8" i="25"/>
  <c r="V8" i="25"/>
  <c r="U8" i="25"/>
  <c r="T8" i="25"/>
  <c r="S8" i="25"/>
  <c r="S8" i="26" s="1"/>
  <c r="R8" i="25"/>
  <c r="P8" i="25"/>
  <c r="O8" i="25"/>
  <c r="O8" i="26" s="1"/>
  <c r="K8" i="25"/>
  <c r="K8" i="26" s="1"/>
  <c r="G8" i="25"/>
  <c r="G8" i="26" s="1"/>
  <c r="F8" i="25"/>
  <c r="R3" i="25"/>
  <c r="Q3" i="25"/>
  <c r="B2" i="25"/>
  <c r="B1" i="25"/>
  <c r="C12" i="24"/>
  <c r="B2" i="24"/>
  <c r="B1" i="24"/>
  <c r="D15" i="23"/>
  <c r="C10" i="23"/>
  <c r="D7" i="23"/>
  <c r="C7" i="23"/>
  <c r="B2" i="23"/>
  <c r="B1" i="23"/>
  <c r="G34" i="22"/>
  <c r="C11" i="23" s="1"/>
  <c r="C13" i="24" s="1"/>
  <c r="F34" i="22"/>
  <c r="D33" i="22"/>
  <c r="H32" i="22"/>
  <c r="H31" i="22"/>
  <c r="H30" i="22"/>
  <c r="H29" i="22"/>
  <c r="H28" i="22"/>
  <c r="H27" i="22"/>
  <c r="H26" i="22"/>
  <c r="H25" i="22"/>
  <c r="H24" i="22"/>
  <c r="H23" i="22"/>
  <c r="H22" i="22"/>
  <c r="H21" i="22"/>
  <c r="H20" i="22"/>
  <c r="H19" i="22"/>
  <c r="H18" i="22"/>
  <c r="H17" i="22"/>
  <c r="H16" i="22"/>
  <c r="H15" i="22"/>
  <c r="H14" i="22"/>
  <c r="H13" i="22"/>
  <c r="H12" i="22"/>
  <c r="H11" i="22"/>
  <c r="H10" i="22"/>
  <c r="H9" i="22"/>
  <c r="H8" i="22"/>
  <c r="D34" i="22"/>
  <c r="B2" i="22"/>
  <c r="B1" i="22"/>
  <c r="F22" i="21"/>
  <c r="F21" i="21"/>
  <c r="H19" i="21"/>
  <c r="H18" i="21"/>
  <c r="H17" i="21"/>
  <c r="H15" i="21"/>
  <c r="G14" i="21"/>
  <c r="G21" i="21" s="1"/>
  <c r="E22" i="21"/>
  <c r="H12" i="21"/>
  <c r="H11" i="21"/>
  <c r="H10" i="21"/>
  <c r="H9" i="21"/>
  <c r="H8" i="21"/>
  <c r="D21" i="21"/>
  <c r="B2" i="21"/>
  <c r="B1" i="21"/>
  <c r="H20" i="20"/>
  <c r="H19" i="20"/>
  <c r="H18" i="20"/>
  <c r="H17" i="20"/>
  <c r="H16" i="20"/>
  <c r="H13" i="20"/>
  <c r="H12" i="20"/>
  <c r="H11" i="20"/>
  <c r="H10" i="20"/>
  <c r="H9" i="20"/>
  <c r="H8" i="20"/>
  <c r="B2" i="20"/>
  <c r="B1" i="20"/>
  <c r="E33" i="19"/>
  <c r="D33" i="19"/>
  <c r="F24" i="19"/>
  <c r="G26" i="19"/>
  <c r="E24" i="19"/>
  <c r="D24" i="19"/>
  <c r="C24" i="19"/>
  <c r="F18" i="19"/>
  <c r="E18" i="19"/>
  <c r="D18" i="19"/>
  <c r="E14" i="19"/>
  <c r="F14" i="19"/>
  <c r="G15" i="19"/>
  <c r="L13" i="19"/>
  <c r="F11" i="19"/>
  <c r="E11" i="19"/>
  <c r="D11" i="19"/>
  <c r="G10" i="19"/>
  <c r="F8" i="19"/>
  <c r="E8" i="19"/>
  <c r="D8" i="19"/>
  <c r="B2" i="19"/>
  <c r="B1" i="19"/>
  <c r="C30" i="18"/>
  <c r="C26" i="18"/>
  <c r="B2" i="18"/>
  <c r="B1" i="18"/>
  <c r="J21" i="17"/>
  <c r="H21" i="17"/>
  <c r="G21" i="17"/>
  <c r="F21" i="17"/>
  <c r="N20" i="17"/>
  <c r="N19" i="17"/>
  <c r="E19" i="17"/>
  <c r="N18" i="17"/>
  <c r="E18" i="17"/>
  <c r="N17" i="17"/>
  <c r="E17" i="17"/>
  <c r="N16" i="17"/>
  <c r="E16" i="17"/>
  <c r="N15" i="17"/>
  <c r="E15" i="17"/>
  <c r="M14" i="17"/>
  <c r="L14" i="17"/>
  <c r="K14" i="17"/>
  <c r="J14" i="17"/>
  <c r="I14" i="17"/>
  <c r="H14" i="17"/>
  <c r="G14" i="17"/>
  <c r="F14" i="17"/>
  <c r="C14" i="17"/>
  <c r="N13" i="17"/>
  <c r="N12" i="17"/>
  <c r="E12" i="17"/>
  <c r="N11" i="17"/>
  <c r="E11" i="17"/>
  <c r="N10" i="17"/>
  <c r="E10" i="17"/>
  <c r="N9" i="17"/>
  <c r="E9" i="17"/>
  <c r="M7" i="17"/>
  <c r="L7" i="17"/>
  <c r="J7" i="17"/>
  <c r="I7" i="17"/>
  <c r="I21" i="17" s="1"/>
  <c r="H7" i="17"/>
  <c r="G7" i="17"/>
  <c r="F7" i="17"/>
  <c r="B2" i="17"/>
  <c r="B1" i="17"/>
  <c r="F25" i="16"/>
  <c r="J23" i="16"/>
  <c r="J25" i="16" s="1"/>
  <c r="I23" i="16"/>
  <c r="I25" i="16" s="1"/>
  <c r="G23" i="16"/>
  <c r="G25" i="16" s="1"/>
  <c r="F23" i="16"/>
  <c r="J21" i="16"/>
  <c r="I21" i="16"/>
  <c r="G21" i="16"/>
  <c r="F21" i="16"/>
  <c r="H21" i="16" s="1"/>
  <c r="D21" i="16"/>
  <c r="C21" i="16"/>
  <c r="K20" i="16"/>
  <c r="H20" i="16"/>
  <c r="E20" i="16"/>
  <c r="K19" i="16"/>
  <c r="H19" i="16"/>
  <c r="E19" i="16"/>
  <c r="K18" i="16"/>
  <c r="K21" i="16" s="1"/>
  <c r="H18" i="16"/>
  <c r="E18" i="16"/>
  <c r="J16" i="16"/>
  <c r="I16" i="16"/>
  <c r="G16" i="16"/>
  <c r="F16" i="16"/>
  <c r="H16" i="16" s="1"/>
  <c r="D16" i="16"/>
  <c r="C16" i="16"/>
  <c r="E16" i="16" s="1"/>
  <c r="K15" i="16"/>
  <c r="H15" i="16"/>
  <c r="E15" i="16"/>
  <c r="K14" i="16"/>
  <c r="H14" i="16"/>
  <c r="E14" i="16"/>
  <c r="K13" i="16"/>
  <c r="H13" i="16"/>
  <c r="E13" i="16"/>
  <c r="K12" i="16"/>
  <c r="H12" i="16"/>
  <c r="E12" i="16"/>
  <c r="K11" i="16"/>
  <c r="H11" i="16"/>
  <c r="E11" i="16"/>
  <c r="K10" i="16"/>
  <c r="K16" i="16" s="1"/>
  <c r="K24" i="16" s="1"/>
  <c r="H10" i="16"/>
  <c r="E10" i="16"/>
  <c r="K8" i="16"/>
  <c r="K23" i="16" s="1"/>
  <c r="H8" i="16"/>
  <c r="H23" i="16" s="1"/>
  <c r="B2" i="16"/>
  <c r="B1" i="16"/>
  <c r="D22" i="15"/>
  <c r="H21" i="15"/>
  <c r="H20" i="15"/>
  <c r="H17" i="15"/>
  <c r="H16" i="15"/>
  <c r="E22" i="15"/>
  <c r="H13" i="15"/>
  <c r="H10" i="15"/>
  <c r="H9" i="15"/>
  <c r="B2" i="15"/>
  <c r="B1"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B2" i="14"/>
  <c r="B1" i="14"/>
  <c r="R22" i="13"/>
  <c r="P22" i="13"/>
  <c r="N22" i="13"/>
  <c r="L22" i="13"/>
  <c r="J22" i="13"/>
  <c r="H22" i="13"/>
  <c r="F22" i="13"/>
  <c r="D22" i="13"/>
  <c r="S20" i="13"/>
  <c r="S19" i="13"/>
  <c r="S17" i="13"/>
  <c r="S15" i="13"/>
  <c r="S13" i="13"/>
  <c r="S12" i="13"/>
  <c r="S10" i="13"/>
  <c r="Q22" i="13"/>
  <c r="M22" i="13"/>
  <c r="I22" i="13"/>
  <c r="O22" i="13"/>
  <c r="K22" i="13"/>
  <c r="G22" i="13"/>
  <c r="B2" i="13"/>
  <c r="B1" i="13"/>
  <c r="B2" i="12"/>
  <c r="B1" i="12"/>
  <c r="C10" i="11"/>
  <c r="C21" i="11"/>
  <c r="C19" i="11"/>
  <c r="B2" i="11"/>
  <c r="B1" i="11"/>
  <c r="C48" i="10"/>
  <c r="C44" i="10"/>
  <c r="C36" i="10"/>
  <c r="C32" i="10"/>
  <c r="C31" i="10"/>
  <c r="C42" i="10" s="1"/>
  <c r="C10" i="10"/>
  <c r="C13" i="10" s="1"/>
  <c r="B2" i="10"/>
  <c r="B1" i="10"/>
  <c r="B2" i="9"/>
  <c r="B1" i="9"/>
  <c r="D31" i="8"/>
  <c r="D25" i="8"/>
  <c r="D20" i="8"/>
  <c r="D16" i="8"/>
  <c r="D8" i="8"/>
  <c r="B2" i="8"/>
  <c r="B1" i="8"/>
  <c r="B2" i="7"/>
  <c r="B1" i="7"/>
  <c r="C6" i="6"/>
  <c r="G6" i="6"/>
  <c r="G13" i="6" s="1"/>
  <c r="F6" i="6"/>
  <c r="E6" i="6"/>
  <c r="E13" i="6" s="1"/>
  <c r="D6" i="6"/>
  <c r="B2" i="6"/>
  <c r="D5" i="6" s="1"/>
  <c r="B1" i="6"/>
  <c r="H43" i="5"/>
  <c r="E43" i="5"/>
  <c r="H42" i="5"/>
  <c r="E42" i="5"/>
  <c r="H41" i="5"/>
  <c r="E41" i="5"/>
  <c r="H40" i="5"/>
  <c r="E40" i="5"/>
  <c r="H39" i="5"/>
  <c r="E39" i="5"/>
  <c r="H38" i="5"/>
  <c r="E38" i="5"/>
  <c r="D38" i="5"/>
  <c r="C38" i="5"/>
  <c r="H37" i="5"/>
  <c r="E37" i="5"/>
  <c r="H36" i="5"/>
  <c r="E36" i="5"/>
  <c r="H35" i="5"/>
  <c r="E35" i="5"/>
  <c r="H34" i="5"/>
  <c r="E34" i="5"/>
  <c r="H33" i="5"/>
  <c r="E33" i="5"/>
  <c r="H32" i="5"/>
  <c r="D30" i="5"/>
  <c r="E32" i="5"/>
  <c r="H31" i="5"/>
  <c r="E31" i="5"/>
  <c r="H30" i="5"/>
  <c r="H29" i="5"/>
  <c r="E29" i="5"/>
  <c r="H28" i="5"/>
  <c r="E28" i="5"/>
  <c r="H27" i="5"/>
  <c r="E27" i="5"/>
  <c r="H26" i="5"/>
  <c r="E26" i="5"/>
  <c r="H25" i="5"/>
  <c r="E25" i="5"/>
  <c r="H24" i="5"/>
  <c r="E24" i="5"/>
  <c r="H23" i="5"/>
  <c r="E23" i="5"/>
  <c r="H22" i="5"/>
  <c r="E22" i="5"/>
  <c r="H21" i="5"/>
  <c r="E21" i="5"/>
  <c r="H20" i="5"/>
  <c r="E20" i="5"/>
  <c r="H19" i="5"/>
  <c r="E19" i="5"/>
  <c r="H18" i="5"/>
  <c r="E18" i="5"/>
  <c r="H17" i="5"/>
  <c r="D17" i="5"/>
  <c r="C17" i="5"/>
  <c r="E17" i="5" s="1"/>
  <c r="H16" i="5"/>
  <c r="E16" i="5"/>
  <c r="H15" i="5"/>
  <c r="E15" i="5"/>
  <c r="H14" i="5"/>
  <c r="D14" i="5"/>
  <c r="C14" i="5"/>
  <c r="E14" i="5" s="1"/>
  <c r="H13" i="5"/>
  <c r="E13" i="5"/>
  <c r="H12" i="5"/>
  <c r="E12" i="5"/>
  <c r="H11" i="5"/>
  <c r="E11" i="5"/>
  <c r="D11" i="5"/>
  <c r="C11" i="5"/>
  <c r="H10" i="5"/>
  <c r="E10" i="5"/>
  <c r="H9" i="5"/>
  <c r="E9" i="5"/>
  <c r="H8" i="5"/>
  <c r="D8" i="5"/>
  <c r="C8" i="5"/>
  <c r="E8" i="5" s="1"/>
  <c r="H7" i="5"/>
  <c r="E7" i="5"/>
  <c r="H6" i="5"/>
  <c r="E6" i="5"/>
  <c r="B2" i="5"/>
  <c r="B1" i="5"/>
  <c r="H45" i="4"/>
  <c r="H44" i="4"/>
  <c r="E44" i="4"/>
  <c r="H43" i="4"/>
  <c r="H42" i="4"/>
  <c r="E42" i="4"/>
  <c r="H41" i="4"/>
  <c r="E41" i="4"/>
  <c r="H40" i="4"/>
  <c r="E40" i="4"/>
  <c r="H39" i="4"/>
  <c r="E39" i="4"/>
  <c r="H38" i="4"/>
  <c r="E38" i="4"/>
  <c r="H37" i="4"/>
  <c r="D37" i="4"/>
  <c r="H36" i="4"/>
  <c r="E36" i="4"/>
  <c r="H35" i="4"/>
  <c r="E35" i="4"/>
  <c r="H34" i="4"/>
  <c r="D34" i="4"/>
  <c r="C34" i="4"/>
  <c r="E34" i="4" s="1"/>
  <c r="H33" i="4"/>
  <c r="E33" i="4"/>
  <c r="H32" i="4"/>
  <c r="E32" i="4"/>
  <c r="H31" i="4"/>
  <c r="D29" i="4"/>
  <c r="E31" i="4"/>
  <c r="H30" i="4"/>
  <c r="H29" i="4"/>
  <c r="C29" i="4"/>
  <c r="H28" i="4"/>
  <c r="E28" i="4"/>
  <c r="H27" i="4"/>
  <c r="E27" i="4"/>
  <c r="H26" i="4"/>
  <c r="E26" i="4"/>
  <c r="H25" i="4"/>
  <c r="E25" i="4"/>
  <c r="H24" i="4"/>
  <c r="E24" i="4"/>
  <c r="H23" i="4"/>
  <c r="E23" i="4"/>
  <c r="H22" i="4"/>
  <c r="E22" i="4"/>
  <c r="H21" i="4"/>
  <c r="E21" i="4"/>
  <c r="H20" i="4"/>
  <c r="E20" i="4"/>
  <c r="H19" i="4"/>
  <c r="H18" i="4"/>
  <c r="E18" i="4"/>
  <c r="H17" i="4"/>
  <c r="E17" i="4"/>
  <c r="H16" i="4"/>
  <c r="C13" i="4"/>
  <c r="H15" i="4"/>
  <c r="E15" i="4"/>
  <c r="H14" i="4"/>
  <c r="E14" i="4"/>
  <c r="H13" i="4"/>
  <c r="D13" i="4"/>
  <c r="H12" i="4"/>
  <c r="E12" i="4"/>
  <c r="H11" i="4"/>
  <c r="D6" i="4"/>
  <c r="E11" i="4"/>
  <c r="H10" i="4"/>
  <c r="E10" i="4"/>
  <c r="H9" i="4"/>
  <c r="E9" i="4"/>
  <c r="H8" i="4"/>
  <c r="E8" i="4"/>
  <c r="H7" i="4"/>
  <c r="E7" i="4"/>
  <c r="H6" i="4"/>
  <c r="C6" i="4"/>
  <c r="B2" i="4"/>
  <c r="B1" i="4"/>
  <c r="H69" i="3"/>
  <c r="H68" i="3"/>
  <c r="H67" i="3"/>
  <c r="E67" i="3"/>
  <c r="H66" i="3"/>
  <c r="E66" i="3"/>
  <c r="C66" i="12" s="1"/>
  <c r="H65" i="3"/>
  <c r="E65" i="3"/>
  <c r="C65" i="12" s="1"/>
  <c r="H64" i="3"/>
  <c r="E64" i="3"/>
  <c r="C64" i="12" s="1"/>
  <c r="C63" i="12" s="1"/>
  <c r="H63" i="3"/>
  <c r="D63" i="3"/>
  <c r="C63" i="3"/>
  <c r="H62" i="3"/>
  <c r="E62" i="3"/>
  <c r="C62" i="12" s="1"/>
  <c r="H61" i="3"/>
  <c r="E61" i="3"/>
  <c r="C61" i="12" s="1"/>
  <c r="H60" i="3"/>
  <c r="E60" i="3"/>
  <c r="C60" i="12" s="1"/>
  <c r="C59" i="12" s="1"/>
  <c r="H59" i="3"/>
  <c r="D59" i="3"/>
  <c r="D68" i="3" s="1"/>
  <c r="C59" i="3"/>
  <c r="E59" i="3" s="1"/>
  <c r="H58" i="3"/>
  <c r="E58" i="3"/>
  <c r="C58" i="12" s="1"/>
  <c r="H57" i="3"/>
  <c r="E57" i="3"/>
  <c r="C57" i="12" s="1"/>
  <c r="H56" i="3"/>
  <c r="E56" i="3"/>
  <c r="C56" i="12" s="1"/>
  <c r="H55" i="3"/>
  <c r="E55" i="3"/>
  <c r="H53" i="3"/>
  <c r="H52" i="3"/>
  <c r="E52" i="3"/>
  <c r="C52" i="12" s="1"/>
  <c r="H51" i="3"/>
  <c r="E51" i="3"/>
  <c r="H50" i="3"/>
  <c r="C53" i="3"/>
  <c r="H49" i="3"/>
  <c r="E49" i="3"/>
  <c r="H48" i="3"/>
  <c r="E48" i="3"/>
  <c r="C47" i="12" s="1"/>
  <c r="H47" i="3"/>
  <c r="D47" i="3"/>
  <c r="C47" i="3"/>
  <c r="H46" i="3"/>
  <c r="E46" i="3"/>
  <c r="C45" i="12" s="1"/>
  <c r="H45" i="3"/>
  <c r="E45" i="3"/>
  <c r="H44" i="3"/>
  <c r="E44" i="3"/>
  <c r="C43" i="12" s="1"/>
  <c r="H43" i="3"/>
  <c r="E43" i="3"/>
  <c r="H42" i="3"/>
  <c r="E42" i="3"/>
  <c r="C41" i="12" s="1"/>
  <c r="H41" i="3"/>
  <c r="C41" i="3"/>
  <c r="H40" i="3"/>
  <c r="E40" i="3"/>
  <c r="C39" i="12" s="1"/>
  <c r="H39" i="3"/>
  <c r="E39" i="3"/>
  <c r="H38" i="3"/>
  <c r="D38" i="3"/>
  <c r="C38" i="3"/>
  <c r="H36" i="3"/>
  <c r="H35" i="3"/>
  <c r="E35" i="3"/>
  <c r="C36" i="8" s="1"/>
  <c r="H34" i="3"/>
  <c r="E34" i="3"/>
  <c r="C35" i="8" s="1"/>
  <c r="H33" i="3"/>
  <c r="E33" i="3"/>
  <c r="H32" i="3"/>
  <c r="E32" i="3"/>
  <c r="C33" i="8" s="1"/>
  <c r="E33" i="8" s="1"/>
  <c r="H31" i="3"/>
  <c r="E31" i="3"/>
  <c r="C32" i="8" s="1"/>
  <c r="E32" i="8" s="1"/>
  <c r="H30" i="3"/>
  <c r="D30" i="3"/>
  <c r="C30" i="3"/>
  <c r="E30" i="3" s="1"/>
  <c r="H29" i="3"/>
  <c r="E29" i="3"/>
  <c r="C30" i="8" s="1"/>
  <c r="H28" i="3"/>
  <c r="E28" i="3"/>
  <c r="C29" i="8" s="1"/>
  <c r="H27" i="3"/>
  <c r="D27" i="3"/>
  <c r="C27" i="3"/>
  <c r="E27" i="3" s="1"/>
  <c r="H26" i="3"/>
  <c r="E26" i="3"/>
  <c r="C27" i="8" s="1"/>
  <c r="E27" i="8" s="1"/>
  <c r="C25" i="12" s="1"/>
  <c r="H25" i="3"/>
  <c r="E25" i="3"/>
  <c r="C35" i="19" s="1"/>
  <c r="H24" i="3"/>
  <c r="D24" i="3"/>
  <c r="C24" i="3"/>
  <c r="H23" i="3"/>
  <c r="H22" i="3"/>
  <c r="E22" i="3"/>
  <c r="C23" i="8" s="1"/>
  <c r="E23" i="8" s="1"/>
  <c r="H21" i="3"/>
  <c r="D19" i="3"/>
  <c r="E21" i="3"/>
  <c r="H20" i="3"/>
  <c r="H19" i="3"/>
  <c r="C19" i="3"/>
  <c r="H18" i="3"/>
  <c r="E18" i="3"/>
  <c r="C19" i="8" s="1"/>
  <c r="E19" i="8" s="1"/>
  <c r="C17" i="12" s="1"/>
  <c r="H17" i="3"/>
  <c r="E17" i="3"/>
  <c r="C18" i="8" s="1"/>
  <c r="E18" i="8" s="1"/>
  <c r="C16" i="12" s="1"/>
  <c r="H16" i="3"/>
  <c r="E16" i="3"/>
  <c r="C17" i="8" s="1"/>
  <c r="H15" i="3"/>
  <c r="D15" i="3"/>
  <c r="C15" i="3"/>
  <c r="E15" i="3" s="1"/>
  <c r="H14" i="3"/>
  <c r="E14" i="3"/>
  <c r="C15" i="8" s="1"/>
  <c r="E15" i="8" s="1"/>
  <c r="C13" i="12" s="1"/>
  <c r="H13" i="3"/>
  <c r="E13" i="3"/>
  <c r="C14" i="8" s="1"/>
  <c r="E14" i="8" s="1"/>
  <c r="C12" i="12" s="1"/>
  <c r="H12" i="3"/>
  <c r="D11" i="3"/>
  <c r="E12" i="3"/>
  <c r="H11" i="3"/>
  <c r="C11" i="3"/>
  <c r="H10" i="3"/>
  <c r="E10" i="3"/>
  <c r="H9" i="3"/>
  <c r="E9" i="3"/>
  <c r="H8" i="3"/>
  <c r="D7" i="3"/>
  <c r="E8" i="3"/>
  <c r="H7" i="3"/>
  <c r="C7" i="3"/>
  <c r="B2" i="3"/>
  <c r="B1" i="3"/>
  <c r="C42" i="2"/>
  <c r="G5" i="2"/>
  <c r="F5" i="2"/>
  <c r="E5" i="2"/>
  <c r="D5" i="2"/>
  <c r="C5" i="2"/>
  <c r="B1" i="2"/>
  <c r="C15" i="23" l="1"/>
  <c r="E24" i="3"/>
  <c r="E47" i="3"/>
  <c r="E63" i="3"/>
  <c r="E31" i="8"/>
  <c r="C68" i="3"/>
  <c r="E68" i="3" s="1"/>
  <c r="C5" i="6"/>
  <c r="E5" i="6"/>
  <c r="G5" i="6"/>
  <c r="C16" i="8"/>
  <c r="E17" i="8"/>
  <c r="C22" i="8"/>
  <c r="C28" i="12"/>
  <c r="D30" i="8"/>
  <c r="D28" i="8" s="1"/>
  <c r="D37" i="8" s="1"/>
  <c r="C51" i="12"/>
  <c r="D27" i="25"/>
  <c r="C8" i="17"/>
  <c r="C7" i="9"/>
  <c r="C21" i="20"/>
  <c r="C9" i="8"/>
  <c r="C11" i="8"/>
  <c r="E11" i="8" s="1"/>
  <c r="C9" i="12" s="1"/>
  <c r="C13" i="8"/>
  <c r="E13" i="8" s="1"/>
  <c r="C11" i="12" s="1"/>
  <c r="C27" i="12"/>
  <c r="E29" i="8"/>
  <c r="C28" i="8"/>
  <c r="C33" i="12"/>
  <c r="E35" i="8"/>
  <c r="D16" i="19"/>
  <c r="G16" i="19" s="1"/>
  <c r="C42" i="12"/>
  <c r="C44" i="12"/>
  <c r="C69" i="3"/>
  <c r="E13" i="4"/>
  <c r="C28" i="25"/>
  <c r="K8" i="28"/>
  <c r="C53" i="10"/>
  <c r="D36" i="3"/>
  <c r="C34" i="8"/>
  <c r="C38" i="12"/>
  <c r="C40" i="12"/>
  <c r="E29" i="4"/>
  <c r="C13" i="6"/>
  <c r="H24" i="16"/>
  <c r="C43" i="2" s="1"/>
  <c r="C44" i="2" s="1"/>
  <c r="E19" i="3"/>
  <c r="C34" i="12"/>
  <c r="E36" i="8"/>
  <c r="C48" i="12"/>
  <c r="C46" i="12" s="1"/>
  <c r="D43" i="4"/>
  <c r="D45" i="4" s="1"/>
  <c r="E7" i="3"/>
  <c r="E11" i="3"/>
  <c r="E20" i="3"/>
  <c r="E23" i="3"/>
  <c r="C36" i="3"/>
  <c r="E50" i="3"/>
  <c r="E6" i="4"/>
  <c r="E16" i="4"/>
  <c r="E19" i="4"/>
  <c r="E30" i="4"/>
  <c r="D13" i="6"/>
  <c r="C26" i="8"/>
  <c r="C20" i="11"/>
  <c r="V21" i="14"/>
  <c r="H15" i="15"/>
  <c r="H19" i="15"/>
  <c r="C8" i="18"/>
  <c r="E38" i="3"/>
  <c r="C37" i="12" s="1"/>
  <c r="D41" i="3"/>
  <c r="E41" i="3" s="1"/>
  <c r="F5" i="6"/>
  <c r="C10" i="8"/>
  <c r="E10" i="8" s="1"/>
  <c r="C8" i="12" s="1"/>
  <c r="C7" i="10"/>
  <c r="C31" i="12"/>
  <c r="C55" i="12"/>
  <c r="S21" i="13"/>
  <c r="H8" i="15"/>
  <c r="G22" i="15"/>
  <c r="H12" i="15"/>
  <c r="H14" i="15"/>
  <c r="H18" i="15"/>
  <c r="K25" i="16"/>
  <c r="L21" i="17"/>
  <c r="E14" i="17"/>
  <c r="G35" i="19"/>
  <c r="C33" i="19"/>
  <c r="F33" i="19"/>
  <c r="C31" i="8"/>
  <c r="C30" i="12"/>
  <c r="C67" i="12"/>
  <c r="C11" i="10"/>
  <c r="C30" i="5"/>
  <c r="E30" i="5" s="1"/>
  <c r="F13" i="6"/>
  <c r="C22" i="13"/>
  <c r="S8" i="13"/>
  <c r="N14" i="17"/>
  <c r="C37" i="4"/>
  <c r="E37" i="4" s="1"/>
  <c r="E22" i="13"/>
  <c r="S9" i="13"/>
  <c r="S16" i="13"/>
  <c r="C22" i="15"/>
  <c r="G12" i="19"/>
  <c r="S11" i="13"/>
  <c r="F22" i="15"/>
  <c r="G13" i="19"/>
  <c r="G9" i="19"/>
  <c r="G8" i="19" s="1"/>
  <c r="C8" i="19"/>
  <c r="S14" i="13"/>
  <c r="S18" i="13"/>
  <c r="H11" i="15"/>
  <c r="E21" i="16"/>
  <c r="M21" i="17"/>
  <c r="C14" i="19"/>
  <c r="G31" i="19"/>
  <c r="G24" i="19" s="1"/>
  <c r="G34" i="19"/>
  <c r="E22" i="20"/>
  <c r="N8" i="26"/>
  <c r="F22" i="20"/>
  <c r="G22" i="20"/>
  <c r="H14" i="21"/>
  <c r="C21" i="21"/>
  <c r="C22" i="21"/>
  <c r="H13" i="21"/>
  <c r="G19" i="19"/>
  <c r="G36" i="19"/>
  <c r="H14" i="20"/>
  <c r="H15" i="20"/>
  <c r="R8" i="26"/>
  <c r="C14" i="25"/>
  <c r="C11" i="19"/>
  <c r="H7" i="21"/>
  <c r="G22" i="21"/>
  <c r="C10" i="24"/>
  <c r="C18" i="24" s="1"/>
  <c r="E20" i="21"/>
  <c r="E33" i="22" s="1"/>
  <c r="E34" i="22" s="1"/>
  <c r="E21" i="21"/>
  <c r="H7" i="22"/>
  <c r="J8" i="25"/>
  <c r="H8" i="25"/>
  <c r="L8" i="25"/>
  <c r="M8" i="25"/>
  <c r="Q8" i="26"/>
  <c r="D22" i="21"/>
  <c r="H16" i="21"/>
  <c r="H20" i="21"/>
  <c r="H23" i="21"/>
  <c r="C33" i="22"/>
  <c r="H33" i="22" s="1"/>
  <c r="F8" i="26"/>
  <c r="P8" i="26"/>
  <c r="D19" i="29"/>
  <c r="C33" i="27"/>
  <c r="K19" i="29"/>
  <c r="P19" i="29"/>
  <c r="D7" i="29"/>
  <c r="I7" i="29"/>
  <c r="I19" i="29" s="1"/>
  <c r="N7" i="29"/>
  <c r="N19" i="29" s="1"/>
  <c r="E8" i="25"/>
  <c r="I8" i="25"/>
  <c r="E28" i="8" l="1"/>
  <c r="E30" i="8"/>
  <c r="G14" i="19"/>
  <c r="C32" i="2"/>
  <c r="M8" i="26"/>
  <c r="I8" i="26"/>
  <c r="H21" i="21"/>
  <c r="C6" i="10"/>
  <c r="D20" i="11"/>
  <c r="C43" i="4"/>
  <c r="C49" i="12"/>
  <c r="C53" i="12" s="1"/>
  <c r="C11" i="9"/>
  <c r="C20" i="12"/>
  <c r="E22" i="8"/>
  <c r="L8" i="26"/>
  <c r="G33" i="19"/>
  <c r="G37" i="19" s="1"/>
  <c r="C47" i="2" s="1"/>
  <c r="G11" i="19"/>
  <c r="C29" i="12"/>
  <c r="C68" i="12"/>
  <c r="C24" i="8"/>
  <c r="E24" i="8" s="1"/>
  <c r="C15" i="10"/>
  <c r="E9" i="8"/>
  <c r="C8" i="8"/>
  <c r="C7" i="17"/>
  <c r="E8" i="17"/>
  <c r="C15" i="12"/>
  <c r="C14" i="12" s="1"/>
  <c r="E16" i="8"/>
  <c r="H8" i="26"/>
  <c r="H22" i="15"/>
  <c r="E26" i="8"/>
  <c r="C25" i="8"/>
  <c r="C21" i="8"/>
  <c r="D53" i="3"/>
  <c r="D12" i="11"/>
  <c r="D17" i="11"/>
  <c r="D16" i="11"/>
  <c r="D15" i="11"/>
  <c r="D13" i="11"/>
  <c r="D9" i="11"/>
  <c r="D7" i="11"/>
  <c r="D11" i="11"/>
  <c r="D19" i="11"/>
  <c r="D21" i="11"/>
  <c r="C32" i="12"/>
  <c r="E34" i="8"/>
  <c r="D14" i="19"/>
  <c r="C22" i="20"/>
  <c r="D22" i="20"/>
  <c r="C27" i="25"/>
  <c r="C22" i="25" s="1"/>
  <c r="D22" i="25"/>
  <c r="E8" i="26"/>
  <c r="C13" i="25"/>
  <c r="D8" i="25"/>
  <c r="J8" i="26"/>
  <c r="H22" i="21"/>
  <c r="C34" i="22"/>
  <c r="S22" i="13"/>
  <c r="D8" i="11"/>
  <c r="E36" i="3"/>
  <c r="C12" i="8"/>
  <c r="E12" i="8" s="1"/>
  <c r="C10" i="9"/>
  <c r="C26" i="12"/>
  <c r="H25" i="16"/>
  <c r="E8" i="8" l="1"/>
  <c r="C7" i="12"/>
  <c r="C6" i="12" s="1"/>
  <c r="E43" i="4"/>
  <c r="C45" i="4"/>
  <c r="H21" i="20"/>
  <c r="C18" i="19"/>
  <c r="G20" i="19"/>
  <c r="G18" i="19" s="1"/>
  <c r="G21" i="19" s="1"/>
  <c r="C19" i="12"/>
  <c r="C18" i="12" s="1"/>
  <c r="E21" i="8"/>
  <c r="E20" i="8" s="1"/>
  <c r="C20" i="8"/>
  <c r="C37" i="8" s="1"/>
  <c r="C21" i="17"/>
  <c r="K8" i="17"/>
  <c r="E7" i="17"/>
  <c r="D8" i="26"/>
  <c r="C8" i="25"/>
  <c r="C24" i="12"/>
  <c r="C23" i="12" s="1"/>
  <c r="E25" i="8"/>
  <c r="C12" i="10"/>
  <c r="C29" i="10" s="1"/>
  <c r="C10" i="12"/>
  <c r="C69" i="12"/>
  <c r="H34" i="22"/>
  <c r="D10" i="11"/>
  <c r="D69" i="3"/>
  <c r="E53" i="3"/>
  <c r="C22" i="12"/>
  <c r="E69" i="3" l="1"/>
  <c r="K7" i="17"/>
  <c r="N8" i="17"/>
  <c r="C9" i="2"/>
  <c r="C8" i="2"/>
  <c r="C18" i="2" s="1"/>
  <c r="C10" i="2"/>
  <c r="C20" i="2" s="1"/>
  <c r="E21" i="17"/>
  <c r="G39" i="19"/>
  <c r="C46" i="2"/>
  <c r="C48" i="2" s="1"/>
  <c r="C49" i="2" s="1"/>
  <c r="E45" i="4"/>
  <c r="C8" i="26"/>
  <c r="C35" i="12"/>
  <c r="H22" i="20"/>
  <c r="E37" i="8"/>
  <c r="N7" i="17" l="1"/>
  <c r="C5" i="9"/>
  <c r="K6" i="28"/>
  <c r="K21" i="17"/>
  <c r="C35" i="18"/>
  <c r="C19" i="2"/>
  <c r="C12" i="18"/>
  <c r="C18" i="18" l="1"/>
  <c r="L6" i="28"/>
  <c r="N21" i="17"/>
  <c r="C8" i="9"/>
  <c r="C13" i="9" s="1"/>
  <c r="C36" i="18" l="1"/>
  <c r="C3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5A14E9E2-EB24-4BC1-8536-23BB3C4E63A8}">
      <text>
        <r>
          <rPr>
            <b/>
            <sz val="9"/>
            <color indexed="81"/>
            <rFont val="Tahoma"/>
            <family val="2"/>
          </rPr>
          <t>Author:</t>
        </r>
        <r>
          <rPr>
            <sz val="9"/>
            <color indexed="81"/>
            <rFont val="Tahoma"/>
            <family val="2"/>
          </rPr>
          <t xml:space="preserve">
formulebi gavascore areulad mokonda RWRE-dan</t>
        </r>
      </text>
    </comment>
  </commentList>
</comments>
</file>

<file path=xl/sharedStrings.xml><?xml version="1.0" encoding="utf-8"?>
<sst xmlns="http://schemas.openxmlformats.org/spreadsheetml/2006/main" count="1221" uniqueCount="753">
  <si>
    <t>პილარ 3-ის კვარტალური ანგარიშგება</t>
  </si>
  <si>
    <t>ბანკის სრული დასახელება</t>
  </si>
  <si>
    <t>სს სილქ ბანკი</t>
  </si>
  <si>
    <t>ბანკის სამეთვალყურეო საბჭოს თავმჯდომარე</t>
  </si>
  <si>
    <t>ი. მანაგაძე</t>
  </si>
  <si>
    <t>ბანკის გენერალური დირექტორი</t>
  </si>
  <si>
    <t>ა.ხოროშვილი</t>
  </si>
  <si>
    <t>ბანკის ვებ-გვერდი</t>
  </si>
  <si>
    <t>www.silkbank.ge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</si>
  <si>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</si>
  <si>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</si>
  <si>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</si>
  <si>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</si>
  <si>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</si>
  <si>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</si>
  <si>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</si>
  <si>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</si>
  <si>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</si>
  <si>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</si>
  <si>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</si>
  <si>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</si>
  <si>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</si>
  <si>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</si>
  <si>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</si>
  <si>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</si>
  <si>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</si>
  <si>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</si>
  <si>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</si>
  <si>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</si>
  <si>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</si>
  <si>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წმინდა სტაბილური დაფინანსების კოეფიციენტი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</si>
  <si>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</si>
  <si>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</si>
  <si>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</si>
  <si>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</si>
  <si>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უმოქმედო სესხების ცვლილება</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</si>
  <si>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</si>
  <si>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</si>
  <si>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</si>
  <si>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</si>
  <si>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</si>
  <si>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ბანკი:</t>
  </si>
  <si>
    <t>თარიღი:</t>
  </si>
  <si>
    <t>ცხრილი 1</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</si>
  <si>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</si>
  <si>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</si>
  <si>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N</t>
  </si>
  <si>
    <t>4Q-2022</t>
  </si>
  <si>
    <t>3Q-2022</t>
  </si>
  <si>
    <t>2Q-2022</t>
  </si>
  <si>
    <t>1Q-2022</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</si>
  <si>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</si>
  <si>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</si>
  <si>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</si>
  <si>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</si>
  <si>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</si>
  <si>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</si>
  <si>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</si>
  <si>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</si>
  <si>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</si>
  <si>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</si>
  <si>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ბაზელ III-ზე დაფუძნებული ჩარჩოს მიხედვით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</si>
  <si>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</si>
  <si>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</si>
  <si>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</si>
  <si>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</si>
  <si>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</si>
  <si>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</si>
  <si>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</si>
  <si>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</si>
  <si>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</si>
  <si>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</si>
  <si>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</si>
  <si>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</si>
  <si>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</si>
  <si>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</si>
  <si>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</si>
  <si>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</si>
  <si>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</si>
  <si>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</si>
  <si>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</si>
  <si>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</si>
  <si>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</si>
  <si>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</si>
  <si>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</si>
  <si>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</si>
  <si>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</si>
  <si>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</si>
  <si>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</si>
  <si>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</si>
  <si>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</si>
  <si>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</si>
  <si>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</si>
  <si>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</si>
  <si>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</si>
  <si>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</si>
  <si>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</si>
  <si>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</si>
  <si>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</si>
  <si>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</si>
  <si>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</si>
  <si>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</si>
  <si>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</si>
  <si>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</si>
  <si>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</si>
  <si>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</si>
  <si>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</si>
  <si>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</si>
  <si>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</si>
  <si>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</si>
  <si>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</si>
  <si>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</si>
  <si>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</si>
  <si>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</si>
  <si>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</si>
  <si>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</si>
  <si>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</si>
  <si>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</si>
  <si>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</si>
  <si>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</si>
  <si>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</si>
  <si>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</si>
  <si>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</si>
  <si>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</si>
  <si>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</si>
  <si>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</si>
  <si>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</si>
  <si>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</si>
  <si>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</si>
  <si>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</si>
  <si>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</si>
  <si>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</si>
  <si>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</si>
  <si>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</si>
  <si>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</si>
  <si>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</si>
  <si>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</si>
  <si>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</si>
  <si>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</si>
  <si>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</si>
  <si>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</si>
  <si>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</si>
  <si>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</si>
  <si>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</si>
  <si>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</si>
  <si>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</si>
  <si>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</si>
  <si>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</si>
  <si>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</si>
  <si>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</si>
  <si>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</si>
  <si>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</si>
  <si>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</si>
  <si>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</si>
  <si>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</si>
  <si>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</si>
  <si>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</si>
  <si>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</si>
  <si>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</si>
  <si>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</si>
  <si>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</si>
  <si>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</si>
  <si>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</si>
  <si>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</si>
  <si>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</si>
  <si>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</si>
  <si>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</si>
  <si>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</si>
  <si>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</si>
  <si>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</si>
  <si>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</si>
  <si>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</si>
  <si>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</si>
  <si>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</si>
  <si>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</si>
  <si>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</si>
  <si>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</si>
  <si>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</si>
  <si>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</si>
  <si>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</si>
  <si>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</si>
  <si>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</si>
  <si>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</si>
  <si>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</si>
  <si>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</si>
  <si>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</si>
  <si>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</si>
  <si>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</si>
  <si>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</si>
  <si>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</si>
  <si>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</si>
  <si>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</si>
  <si>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</si>
  <si>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</si>
  <si>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</si>
  <si>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</si>
  <si>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</si>
  <si>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</si>
  <si>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</si>
  <si>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</si>
  <si>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</si>
  <si>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</si>
  <si>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</si>
  <si>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</si>
  <si>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</si>
  <si>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</si>
  <si>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</si>
  <si>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</si>
  <si>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</si>
  <si>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</si>
  <si>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</si>
  <si>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</si>
  <si>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</si>
  <si>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</si>
  <si>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</si>
  <si>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</si>
  <si>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სხვა</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</si>
  <si>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</si>
  <si>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</si>
  <si>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</si>
  <si>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</si>
  <si>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</si>
  <si>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</si>
  <si>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</si>
  <si>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</si>
  <si>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</si>
  <si>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</si>
  <si>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</si>
  <si>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</si>
  <si>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</si>
  <si>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</si>
  <si>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</si>
  <si>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</si>
  <si>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</si>
  <si>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</si>
  <si>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</si>
  <si>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</si>
  <si>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</si>
  <si>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ლარებით</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</si>
  <si>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</si>
  <si>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</si>
  <si>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</si>
  <si>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</si>
  <si>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</si>
  <si>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</si>
  <si>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</si>
  <si>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</si>
  <si>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</si>
  <si>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</si>
  <si>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</si>
  <si>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</si>
  <si>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</si>
  <si>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</si>
  <si>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</si>
  <si>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</si>
  <si>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არჩილ ლურსმანაშვილი</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</si>
  <si>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</si>
  <si>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</si>
  <si>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</si>
  <si>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</si>
  <si>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</si>
  <si>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</si>
  <si>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</si>
  <si>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</si>
  <si>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</si>
  <si>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</si>
  <si>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</si>
  <si>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</si>
  <si>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</si>
  <si>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</si>
  <si>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</si>
  <si>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</si>
  <si>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კახა ბასიაშვილი</t>
  </si>
  <si>
    <t>რისკების დირექტორის მოადგილე</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</si>
  <si>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</si>
  <si>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</si>
  <si>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</si>
  <si>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</si>
  <si>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</si>
  <si>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</si>
  <si>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</si>
  <si>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</si>
  <si>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</si>
  <si>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</si>
  <si>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</si>
  <si>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</si>
  <si>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</si>
  <si>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</si>
  <si>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</si>
  <si>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</si>
  <si>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</si>
  <si>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</si>
  <si>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</si>
  <si>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</si>
  <si>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</si>
  <si>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</si>
  <si>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</si>
  <si>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</si>
  <si>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</si>
  <si>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</si>
  <si>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</si>
  <si>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</si>
  <si>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</si>
  <si>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</si>
  <si>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</si>
  <si>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 *</t>
  </si>
  <si>
    <t>სულ საკრედიტო რისკის მიხედვით შეწონვას დაქვემდებარებული რისკის პოზიციები</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</si>
  <si>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</si>
  <si>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</si>
  <si>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</si>
  <si>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</si>
  <si>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</si>
  <si>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</si>
  <si>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</si>
  <si>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</si>
  <si>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</si>
  <si>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</si>
  <si>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</si>
  <si>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</si>
  <si>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</si>
  <si>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</si>
  <si>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</si>
  <si>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</si>
  <si>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</si>
  <si>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</si>
  <si>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</si>
  <si>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</si>
  <si>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</si>
  <si>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</si>
  <si>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</si>
  <si>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</si>
  <si>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</si>
  <si>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</si>
  <si>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</si>
  <si>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</si>
  <si>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</si>
  <si>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</si>
  <si>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</si>
  <si>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</si>
  <si>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</si>
  <si>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</si>
  <si>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</si>
  <si>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</si>
  <si>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</si>
  <si>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</si>
  <si>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</si>
  <si>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</si>
  <si>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</si>
  <si>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</si>
  <si>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</si>
  <si>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</si>
  <si>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</si>
  <si>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</si>
  <si>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</si>
  <si>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</si>
  <si>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</si>
  <si>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</si>
  <si>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</si>
  <si>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</si>
  <si>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</si>
  <si>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</si>
  <si>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</si>
  <si>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</si>
  <si>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</si>
  <si>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</si>
  <si>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</si>
  <si>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</si>
  <si>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</si>
  <si>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</si>
  <si>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</si>
  <si>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</si>
  <si>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</si>
  <si>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</si>
  <si>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</si>
  <si>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</si>
  <si>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</si>
  <si>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</si>
  <si>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</si>
  <si>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</si>
  <si>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</si>
  <si>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</si>
  <si>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</si>
  <si>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ცხრილი 10</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</si>
  <si>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</si>
  <si>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</si>
  <si>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</si>
  <si>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მ.შ. სუბორდინირებული ვალდებულებების საკონტრაქტო ღირებულება</t>
  </si>
  <si>
    <t xml:space="preserve"> ცხრილი 9 (Capital), N38</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</si>
  <si>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</si>
  <si>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</si>
  <si>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</si>
  <si>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</si>
  <si>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</si>
  <si>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</si>
  <si>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</si>
  <si>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</si>
  <si>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</si>
  <si>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</si>
  <si>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</si>
  <si>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</si>
  <si>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</si>
  <si>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</si>
  <si>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</si>
  <si>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</si>
  <si>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</si>
  <si>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</si>
  <si>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</si>
  <si>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</si>
  <si>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</si>
  <si>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</si>
  <si>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</si>
  <si>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</si>
  <si>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</si>
  <si>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</si>
  <si>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</si>
  <si>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</si>
  <si>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</si>
  <si>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</si>
  <si>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</si>
  <si>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</si>
  <si>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</si>
  <si>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</si>
  <si>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</si>
  <si>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</si>
  <si>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</si>
  <si>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</si>
  <si>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</si>
  <si>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</si>
  <si>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</si>
  <si>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</si>
  <si>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</si>
  <si>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</si>
  <si>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</si>
  <si>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</si>
  <si>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</si>
  <si>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</si>
  <si>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</si>
  <si>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</si>
  <si>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</si>
  <si>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</si>
  <si>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</si>
  <si>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</si>
  <si>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</si>
  <si>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</si>
  <si>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</si>
  <si>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</si>
  <si>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</si>
  <si>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</si>
  <si>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</si>
  <si>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</si>
  <si>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</si>
  <si>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</si>
  <si>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</si>
  <si>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</si>
  <si>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</si>
  <si>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</si>
  <si>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</si>
  <si>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</si>
  <si>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</si>
  <si>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</si>
  <si>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</si>
  <si>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</si>
  <si>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</si>
  <si>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</si>
  <si>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</si>
  <si>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</si>
  <si>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</si>
  <si>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</si>
  <si>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</si>
  <si>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</si>
  <si>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</si>
  <si>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</si>
  <si>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</si>
  <si>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</si>
  <si>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</si>
  <si>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</si>
  <si>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</si>
  <si>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</si>
  <si>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</si>
  <si>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</si>
  <si>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</si>
  <si>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</si>
  <si>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</si>
  <si>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</si>
  <si>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</si>
  <si>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</si>
  <si>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</si>
  <si>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</si>
  <si>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</si>
  <si>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</si>
  <si>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</si>
  <si>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</si>
  <si>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</si>
  <si>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</si>
  <si>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</si>
  <si>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</si>
  <si>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</si>
  <si>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</si>
  <si>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</si>
  <si>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</si>
  <si>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</si>
  <si>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</si>
  <si>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</si>
  <si>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</si>
  <si>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</si>
  <si>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</si>
  <si>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</si>
  <si>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</si>
  <si>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</si>
  <si>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</si>
  <si>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</si>
  <si>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</si>
  <si>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</si>
  <si>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</si>
  <si>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</si>
  <si>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</si>
  <si>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</si>
  <si>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</si>
  <si>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</si>
  <si>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</si>
  <si>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</si>
  <si>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</si>
  <si>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</si>
  <si>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</si>
  <si>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</si>
  <si>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</si>
  <si>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</si>
  <si>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</si>
  <si>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</si>
  <si>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</si>
  <si>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</si>
  <si>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</si>
  <si>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 COVID 19-თან დაკავშირებული რეზერვები აკლდება საბალანსო ელემენტებს</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</si>
  <si>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</si>
  <si>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</si>
  <si>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</si>
  <si>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</si>
  <si>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</si>
  <si>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</si>
  <si>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</si>
  <si>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</si>
  <si>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</si>
  <si>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</si>
  <si>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</si>
  <si>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</si>
  <si>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</si>
  <si>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</si>
  <si>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</si>
  <si>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</si>
  <si>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</si>
  <si>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</si>
  <si>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</si>
  <si>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</si>
  <si>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</si>
  <si>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</si>
  <si>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</si>
  <si>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</si>
  <si>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</si>
  <si>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</si>
  <si>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</si>
  <si>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</si>
  <si>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</si>
  <si>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</si>
  <si>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</si>
  <si>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</si>
  <si>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</si>
  <si>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</si>
  <si>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</si>
  <si>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</si>
  <si>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</si>
  <si>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</si>
  <si>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</si>
  <si>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</si>
  <si>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</si>
  <si>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</si>
  <si>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</si>
  <si>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</si>
  <si>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</si>
  <si>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</si>
  <si>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</si>
  <si>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</si>
  <si>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</si>
  <si>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</si>
  <si>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</si>
  <si>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</si>
  <si>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</si>
  <si>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</si>
  <si>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</si>
  <si>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</si>
  <si>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</si>
  <si>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</si>
  <si>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</si>
  <si>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</si>
  <si>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</si>
  <si>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</si>
  <si>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</si>
  <si>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</si>
  <si>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</si>
  <si>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</si>
  <si>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იპოთეკური სესხები - დასრულებული საცხოვრებელი უძრავი ქონების შეძენა</t>
  </si>
  <si>
    <t>უძრავი ქონების მენეჯმენტი</t>
  </si>
  <si>
    <t>სამშენებლო კომპანიები (არა დეველოპერები)</t>
  </si>
  <si>
    <t>სამომხმარებლო სესხები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</si>
  <si>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</si>
  <si>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</si>
  <si>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</si>
  <si>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</si>
  <si>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</si>
  <si>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</si>
  <si>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</si>
  <si>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</si>
  <si>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</si>
  <si>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</si>
  <si>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</si>
  <si>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</si>
  <si>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</si>
  <si>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</si>
  <si>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</si>
  <si>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</si>
  <si>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</si>
  <si>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</si>
  <si>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</si>
  <si>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</si>
  <si>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</si>
  <si>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</si>
  <si>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</si>
  <si>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</si>
  <si>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</si>
  <si>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</si>
  <si>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</si>
  <si>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</si>
  <si>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</si>
  <si>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</si>
  <si>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</si>
  <si>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</si>
  <si>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</si>
  <si>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</si>
  <si>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</si>
  <si>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</si>
  <si>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</si>
  <si>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</si>
  <si>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</si>
  <si>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</si>
  <si>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</si>
  <si>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</si>
  <si>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</si>
  <si>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</si>
  <si>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</si>
  <si>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</si>
  <si>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</si>
  <si>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</si>
  <si>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</si>
  <si>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&lt;=30</t>
  </si>
  <si>
    <t>&lt;90</t>
  </si>
  <si>
    <t>&gt;90</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</si>
  <si>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</si>
  <si>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</si>
  <si>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</si>
  <si>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</si>
  <si>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</si>
  <si>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</si>
  <si>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</si>
  <si>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</si>
  <si>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</si>
  <si>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</si>
  <si>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</si>
  <si>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</si>
  <si>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</si>
  <si>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</si>
  <si>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</si>
  <si>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</si>
  <si>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</si>
  <si>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</si>
  <si>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</si>
  <si>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</si>
  <si>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</si>
  <si>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</si>
  <si>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</si>
  <si>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</si>
  <si>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</si>
  <si>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</si>
  <si>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</si>
  <si>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</si>
  <si>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</si>
  <si>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</si>
  <si>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</si>
  <si>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</si>
  <si>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</si>
  <si>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</si>
  <si>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</si>
  <si>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</si>
  <si>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</si>
  <si>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</si>
  <si>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</si>
  <si>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</si>
  <si>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</si>
  <si>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</si>
  <si>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</si>
  <si>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</si>
  <si>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</si>
  <si>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</si>
  <si>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</si>
  <si>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</si>
  <si>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</si>
  <si>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</si>
  <si>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</si>
  <si>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</si>
  <si>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</si>
  <si>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</si>
  <si>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</si>
  <si>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</si>
  <si>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ზ</t>
  </si>
  <si>
    <t>თ</t>
  </si>
  <si>
    <t>ი</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</si>
  <si>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</si>
  <si>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</si>
  <si>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</si>
  <si>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</si>
  <si>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</si>
  <si>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</si>
  <si>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</si>
  <si>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</si>
  <si>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</si>
  <si>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</si>
  <si>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</si>
  <si>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</si>
  <si>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</si>
  <si>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</si>
  <si>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</si>
  <si>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</si>
  <si>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</si>
  <si>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</si>
  <si>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</si>
  <si>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</si>
  <si>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</si>
  <si>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</si>
  <si>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</si>
  <si>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</si>
  <si>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</si>
  <si>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</si>
  <si>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</si>
  <si>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</si>
  <si>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</si>
  <si>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</si>
  <si>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</si>
  <si>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</si>
  <si>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საცხოვრებელი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</si>
  <si>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</si>
  <si>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კომერციული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</si>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</sst>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yy;@"/>
    <numFmt numFmtId="165" formatCode="#,##0_ ;[Red]\-#,##0\ "/>
    <numFmt numFmtId="166" formatCode="_(* #,##0_);_(* \(#,##0\);_(* &quot;-&quot;??_);_(@_)"/>
    <numFmt numFmtId="167" formatCode="0.0%"/>
    <numFmt numFmtId="168" formatCode="_(* #,##0.0_);_(* \(#,##0.0\);_(* &quot;-&quot;??_);_(@_)"/>
    <numFmt numFmtId="169" formatCode="_(#,##0_);_(\(#,##0\);_(\ \-\ _);_(@_)"/>
    <numFmt numFmtId="170" formatCode="_(* #,##0.0_);_(* \(#,##0.0\);_(* &quot;-&quot;?_);_(@_)"/>
    <numFmt numFmtId="171" formatCode="_-* #,##0.00_-;\-* #,##0.00_-;_-* &quot;-&quot;??_-;_-@_-"/>
  </numFmts>
  <fonts count="78"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color theme="1"/>
      <name val="Aptos Narrow"/>
      <family val="2"/>
      <scheme val="minor"/>
    </font>
    <font>
      <sz val="10"/>
      <name val="Arial"/>
      <family val="2"/>
    </font>
    <font>
      <b/>
      <sz val="11"/>
      <name val="Sylfaen"/>
      <family val="1"/>
    </font>
    <font>
      <sz val="10"/>
      <color theme="1"/>
      <name val="Sylfaen"/>
      <family val="1"/>
    </font>
    <font>
      <sz val="10"/>
      <name val="Aptos Narrow"/>
      <family val="2"/>
      <scheme val="minor"/>
    </font>
    <font>
      <sz val="10"/>
      <name val="Sylfaen"/>
      <family val="1"/>
    </font>
    <font>
      <sz val="11"/>
      <color theme="1"/>
      <name val="Sylfaen"/>
      <family val="1"/>
    </font>
    <font>
      <u/>
      <sz val="10"/>
      <color indexed="12"/>
      <name val="Arial"/>
      <family val="2"/>
    </font>
    <font>
      <b/>
      <i/>
      <sz val="10"/>
      <color theme="1"/>
      <name val="Sylfaen"/>
      <family val="1"/>
    </font>
    <font>
      <sz val="10"/>
      <color theme="1"/>
      <name val="Aptos Narrow"/>
      <family val="1"/>
      <scheme val="minor"/>
    </font>
    <font>
      <b/>
      <sz val="10"/>
      <name val="Sylfaen"/>
      <family val="1"/>
    </font>
    <font>
      <b/>
      <sz val="10"/>
      <name val="Aptos Narrow"/>
      <family val="2"/>
      <scheme val="minor"/>
    </font>
    <font>
      <b/>
      <i/>
      <sz val="10"/>
      <color theme="1"/>
      <name val="Aptos Narrow"/>
      <family val="2"/>
      <scheme val="minor"/>
    </font>
    <font>
      <b/>
      <i/>
      <sz val="11"/>
      <color theme="1"/>
      <name val="Aptos Narrow"/>
      <family val="2"/>
      <scheme val="minor"/>
    </font>
    <font>
      <sz val="10"/>
      <name val="MS Sans Serif"/>
      <family val="2"/>
    </font>
    <font>
      <b/>
      <i/>
      <sz val="10"/>
      <name val="Aptos Narrow"/>
      <family val="2"/>
      <scheme val="minor"/>
    </font>
    <font>
      <sz val="10"/>
      <color rgb="FF333333"/>
      <name val="Sylfaen"/>
      <family val="1"/>
    </font>
    <font>
      <sz val="10"/>
      <color rgb="FFFF0000"/>
      <name val="Aptos Narrow"/>
      <family val="2"/>
      <scheme val="minor"/>
    </font>
    <font>
      <b/>
      <sz val="12"/>
      <color theme="1"/>
      <name val="Aptos Narrow"/>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Aptos Narrow"/>
      <family val="2"/>
      <scheme val="minor"/>
    </font>
    <font>
      <b/>
      <sz val="8"/>
      <color rgb="FF000000"/>
      <name val="Verdana"/>
      <family val="2"/>
    </font>
    <font>
      <b/>
      <sz val="9"/>
      <color indexed="81"/>
      <name val="Tahoma"/>
      <family val="2"/>
    </font>
    <font>
      <sz val="9"/>
      <color indexed="81"/>
      <name val="Tahoma"/>
      <family val="2"/>
    </font>
    <font>
      <b/>
      <sz val="11"/>
      <color rgb="FFFF0000"/>
      <name val="Aptos Narrow"/>
      <family val="2"/>
      <scheme val="minor"/>
    </font>
    <font>
      <sz val="11"/>
      <name val="Aptos Narrow"/>
      <family val="2"/>
      <charset val="204"/>
      <scheme val="minor"/>
    </font>
    <font>
      <i/>
      <sz val="11"/>
      <name val="Aptos Narrow"/>
      <family val="2"/>
      <scheme val="minor"/>
    </font>
    <font>
      <i/>
      <sz val="11"/>
      <name val="Aptos Narrow"/>
      <family val="2"/>
      <charset val="204"/>
      <scheme val="minor"/>
    </font>
    <font>
      <sz val="8"/>
      <color theme="1"/>
      <name val="Aptos Narrow"/>
      <family val="2"/>
      <scheme val="minor"/>
    </font>
    <font>
      <b/>
      <sz val="10"/>
      <color theme="1"/>
      <name val="Aptos Narrow"/>
      <family val="2"/>
      <scheme val="minor"/>
    </font>
    <font>
      <i/>
      <sz val="10"/>
      <name val="Sylfaen"/>
      <family val="1"/>
    </font>
    <font>
      <sz val="10"/>
      <color theme="1"/>
      <name val="Segoe UI"/>
      <family val="2"/>
    </font>
    <font>
      <sz val="10"/>
      <color theme="1"/>
      <name val="Times New Roman"/>
      <family val="1"/>
    </font>
    <font>
      <sz val="8"/>
      <color rgb="FFFF0000"/>
      <name val="Aptos Narrow"/>
      <family val="2"/>
      <scheme val="minor"/>
    </font>
    <font>
      <sz val="10"/>
      <name val="Arial"/>
      <family val="2"/>
      <charset val="204"/>
    </font>
    <font>
      <sz val="10"/>
      <name val="Geo_Arial"/>
      <family val="2"/>
    </font>
    <font>
      <sz val="10"/>
      <color rgb="FFFF0000"/>
      <name val="Sylfaen"/>
      <family val="1"/>
    </font>
    <font>
      <b/>
      <sz val="10"/>
      <color rgb="FFFF0000"/>
      <name val="Aptos Narrow"/>
      <family val="2"/>
      <scheme val="minor"/>
    </font>
    <font>
      <b/>
      <sz val="10"/>
      <name val="Aptos Narrow"/>
      <family val="1"/>
      <scheme val="minor"/>
    </font>
    <font>
      <sz val="10"/>
      <name val="Aptos Narrow"/>
      <family val="1"/>
      <scheme val="minor"/>
    </font>
    <font>
      <b/>
      <sz val="10"/>
      <color theme="1"/>
      <name val="Sylfaen"/>
      <family val="1"/>
    </font>
    <font>
      <i/>
      <sz val="10"/>
      <color theme="1"/>
      <name val="Sylfaen"/>
      <family val="1"/>
    </font>
    <font>
      <i/>
      <sz val="11"/>
      <color theme="1"/>
      <name val="Aptos Narrow"/>
      <family val="2"/>
      <scheme val="minor"/>
    </font>
    <font>
      <b/>
      <sz val="10"/>
      <color rgb="FFFF0000"/>
      <name val="Sylfaen"/>
      <family val="1"/>
    </font>
    <font>
      <sz val="10"/>
      <name val="SPKolheti"/>
      <family val="1"/>
    </font>
    <font>
      <sz val="9"/>
      <color theme="1"/>
      <name val="Aptos Narrow"/>
      <family val="2"/>
      <scheme val="minor"/>
    </font>
    <font>
      <i/>
      <sz val="10"/>
      <color theme="1"/>
      <name val="Aptos Narrow"/>
      <family val="2"/>
      <scheme val="minor"/>
    </font>
    <font>
      <b/>
      <sz val="9"/>
      <name val="Arial"/>
      <family val="2"/>
    </font>
    <font>
      <b/>
      <sz val="10"/>
      <name val="Arial"/>
      <family val="2"/>
    </font>
    <font>
      <sz val="9"/>
      <name val="Arial"/>
      <family val="2"/>
    </font>
    <font>
      <sz val="9"/>
      <name val="Calibri"/>
      <family val="2"/>
    </font>
    <font>
      <b/>
      <sz val="9"/>
      <name val="Calibri"/>
      <family val="2"/>
    </font>
    <font>
      <sz val="11"/>
      <color indexed="8"/>
      <name val="Calibri"/>
      <family val="2"/>
    </font>
    <font>
      <sz val="10"/>
      <color indexed="10"/>
      <name val="Arial"/>
      <family val="2"/>
    </font>
    <font>
      <sz val="8"/>
      <name val="Arial"/>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Aptos Narrow"/>
      <family val="1"/>
      <scheme val="minor"/>
    </font>
    <font>
      <sz val="9"/>
      <color rgb="FFFF0000"/>
      <name val="Sylfaen"/>
      <family val="1"/>
    </font>
    <font>
      <i/>
      <sz val="9"/>
      <name val="Aptos Narrow"/>
      <family val="1"/>
      <scheme val="minor"/>
    </font>
    <font>
      <b/>
      <sz val="9"/>
      <name val="Aptos Narrow"/>
      <family val="1"/>
      <scheme val="minor"/>
    </font>
    <font>
      <b/>
      <sz val="9"/>
      <color rgb="FFFF0000"/>
      <name val="Sylfaen"/>
      <family val="1"/>
    </font>
    <font>
      <sz val="10"/>
      <color rgb="FF000000"/>
      <name val="Aptos Narrow"/>
      <family val="2"/>
      <scheme val="minor"/>
    </font>
    <font>
      <b/>
      <u/>
      <sz val="9"/>
      <color theme="1"/>
      <name val="Sylfaen"/>
      <family val="1"/>
    </font>
    <font>
      <sz val="9"/>
      <color rgb="FFFF0000"/>
      <name val="Aptos Narrow"/>
      <family val="1"/>
      <scheme val="minor"/>
    </font>
    <font>
      <sz val="9"/>
      <color theme="1"/>
      <name val="Aptos Narrow"/>
      <family val="1"/>
      <scheme val="minor"/>
    </font>
    <font>
      <b/>
      <sz val="8"/>
      <name val="Sylfaen"/>
      <family val="1"/>
    </font>
    <font>
      <sz val="1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lightGray">
        <fgColor indexed="22"/>
      </patternFill>
    </fill>
    <fill>
      <patternFill patternType="lightGray">
        <fgColor indexed="22"/>
        <bgColor theme="0" tint="-4.9989318521683403E-2"/>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49998474074526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5" fillId="0" borderId="0"/>
    <xf numFmtId="164" fontId="18" fillId="4" borderId="0"/>
    <xf numFmtId="0" fontId="5" fillId="0" borderId="0"/>
    <xf numFmtId="0" fontId="41" fillId="0" borderId="0"/>
    <xf numFmtId="0" fontId="41"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43" fontId="59" fillId="0" borderId="0" applyFont="0" applyFill="0" applyBorder="0" applyAlignment="0" applyProtection="0"/>
    <xf numFmtId="0" fontId="5" fillId="0" borderId="0"/>
    <xf numFmtId="171" fontId="1" fillId="0" borderId="0" applyFont="0" applyFill="0" applyBorder="0" applyAlignment="0" applyProtection="0"/>
  </cellStyleXfs>
  <cellXfs count="935">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1" xfId="3" applyBorder="1" applyAlignment="1" applyProtection="1"/>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wrapText="1"/>
    </xf>
    <xf numFmtId="0" fontId="8" fillId="2" borderId="1" xfId="4" applyFont="1" applyFill="1" applyBorder="1"/>
    <xf numFmtId="0" fontId="11" fillId="0" borderId="1" xfId="3" applyFill="1" applyBorder="1" applyAlignment="1" applyProtection="1"/>
    <xf numFmtId="0" fontId="11" fillId="0" borderId="1" xfId="3" applyFill="1"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1" fillId="0" borderId="1" xfId="3" applyFill="1" applyBorder="1" applyAlignment="1" applyProtection="1">
      <alignment horizontal="left" vertical="center"/>
    </xf>
    <xf numFmtId="0" fontId="11" fillId="0" borderId="1" xfId="3" applyFill="1" applyBorder="1" applyAlignment="1" applyProtection="1">
      <alignment vertical="top" wrapText="1"/>
    </xf>
    <xf numFmtId="0" fontId="11" fillId="0" borderId="1" xfId="3" applyFill="1" applyBorder="1" applyAlignment="1" applyProtection="1">
      <alignment horizontal="left" vertical="top" wrapText="1"/>
    </xf>
    <xf numFmtId="0" fontId="4" fillId="0" borderId="0" xfId="0" applyFont="1"/>
    <xf numFmtId="0" fontId="9" fillId="0" borderId="0" xfId="5" applyFont="1"/>
    <xf numFmtId="43" fontId="8" fillId="0" borderId="0" xfId="1" applyFont="1"/>
    <xf numFmtId="0" fontId="8" fillId="0" borderId="0" xfId="0" applyFont="1"/>
    <xf numFmtId="14" fontId="4" fillId="0" borderId="0" xfId="0" applyNumberFormat="1" applyFont="1" applyAlignment="1">
      <alignment horizontal="left"/>
    </xf>
    <xf numFmtId="0" fontId="3" fillId="0" borderId="0" xfId="0" applyFont="1"/>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3" borderId="6" xfId="0" applyFont="1" applyFill="1" applyBorder="1" applyAlignment="1">
      <alignment horizontal="center" wrapText="1"/>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0" fontId="9" fillId="0" borderId="9" xfId="0" applyFont="1" applyBorder="1" applyAlignment="1">
      <alignment horizontal="right" vertical="center" wrapText="1"/>
    </xf>
    <xf numFmtId="0" fontId="8" fillId="0" borderId="10" xfId="0" applyFont="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9" xfId="0" applyFont="1" applyBorder="1" applyAlignment="1">
      <alignment horizontal="left" vertical="center" wrapText="1" indent="1"/>
    </xf>
    <xf numFmtId="0" fontId="9" fillId="0" borderId="12" xfId="0" applyFont="1" applyBorder="1" applyAlignment="1">
      <alignment horizontal="center" vertical="center" wrapText="1"/>
    </xf>
    <xf numFmtId="0" fontId="15" fillId="0" borderId="1" xfId="0" applyFont="1" applyBorder="1" applyAlignment="1">
      <alignment horizontal="center" vertical="center" wrapText="1"/>
    </xf>
    <xf numFmtId="164" fontId="18" fillId="5" borderId="3" xfId="6" applyFill="1" applyBorder="1" applyAlignment="1">
      <alignment horizontal="center"/>
    </xf>
    <xf numFmtId="164" fontId="18" fillId="5" borderId="4" xfId="6" applyFill="1" applyBorder="1" applyAlignment="1">
      <alignment horizontal="center"/>
    </xf>
    <xf numFmtId="164" fontId="18" fillId="5" borderId="13" xfId="6" applyFill="1" applyBorder="1" applyAlignment="1">
      <alignment horizontal="center"/>
    </xf>
    <xf numFmtId="164" fontId="18" fillId="5" borderId="14" xfId="6" applyFill="1" applyBorder="1" applyAlignment="1">
      <alignment horizontal="center"/>
    </xf>
    <xf numFmtId="0" fontId="19" fillId="0" borderId="1" xfId="0" applyFont="1" applyBorder="1" applyAlignment="1">
      <alignment horizontal="left" vertical="center" wrapText="1"/>
    </xf>
    <xf numFmtId="164" fontId="18" fillId="5" borderId="15" xfId="6" applyFill="1" applyBorder="1" applyAlignment="1">
      <alignment horizontal="center"/>
    </xf>
    <xf numFmtId="164" fontId="18" fillId="5" borderId="16" xfId="6" applyFill="1" applyBorder="1" applyAlignment="1">
      <alignment horizontal="center"/>
    </xf>
    <xf numFmtId="164" fontId="18" fillId="5" borderId="17" xfId="6" applyFill="1" applyBorder="1" applyAlignment="1">
      <alignment horizontal="center"/>
    </xf>
    <xf numFmtId="164" fontId="18" fillId="5" borderId="18" xfId="6" applyFill="1" applyBorder="1" applyAlignment="1">
      <alignment horizontal="center"/>
    </xf>
    <xf numFmtId="0" fontId="9" fillId="0" borderId="12"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4" fillId="0" borderId="19" xfId="0" applyNumberFormat="1" applyFont="1" applyBorder="1" applyAlignment="1" applyProtection="1">
      <alignment vertical="center" wrapText="1"/>
      <protection locked="0"/>
    </xf>
    <xf numFmtId="165" fontId="4" fillId="0" borderId="12" xfId="0" applyNumberFormat="1" applyFont="1" applyBorder="1" applyAlignment="1" applyProtection="1">
      <alignment vertical="center" wrapText="1"/>
      <protection locked="0"/>
    </xf>
    <xf numFmtId="166" fontId="0" fillId="0" borderId="0" xfId="1" applyNumberFormat="1" applyFont="1"/>
    <xf numFmtId="165" fontId="0" fillId="0" borderId="0" xfId="0" applyNumberFormat="1"/>
    <xf numFmtId="164" fontId="18" fillId="5" borderId="20" xfId="6" applyFill="1" applyBorder="1"/>
    <xf numFmtId="164" fontId="18" fillId="5" borderId="21" xfId="6" applyFill="1" applyBorder="1"/>
    <xf numFmtId="164" fontId="18" fillId="5" borderId="22" xfId="6" applyFill="1" applyBorder="1"/>
    <xf numFmtId="164" fontId="18" fillId="5" borderId="23" xfId="6" applyFill="1" applyBorder="1" applyAlignment="1">
      <alignment horizontal="center"/>
    </xf>
    <xf numFmtId="164" fontId="18" fillId="5" borderId="21" xfId="6" applyFill="1" applyBorder="1" applyAlignment="1">
      <alignment horizontal="center"/>
    </xf>
    <xf numFmtId="164" fontId="18" fillId="5" borderId="22" xfId="6" applyFill="1" applyBorder="1" applyAlignment="1">
      <alignment horizontal="center"/>
    </xf>
    <xf numFmtId="165" fontId="8" fillId="0" borderId="1" xfId="0" applyNumberFormat="1" applyFont="1" applyBorder="1" applyAlignment="1" applyProtection="1">
      <alignment horizontal="right" vertical="center" wrapText="1"/>
      <protection locked="0"/>
    </xf>
    <xf numFmtId="164" fontId="18" fillId="5" borderId="3" xfId="6" applyFill="1" applyBorder="1"/>
    <xf numFmtId="164" fontId="18" fillId="5" borderId="4" xfId="6" applyFill="1" applyBorder="1"/>
    <xf numFmtId="164" fontId="18" fillId="5" borderId="13" xfId="6" applyFill="1" applyBorder="1"/>
    <xf numFmtId="164" fontId="18" fillId="5" borderId="15" xfId="6" applyFill="1" applyBorder="1"/>
    <xf numFmtId="164" fontId="18" fillId="5" borderId="16" xfId="6" applyFill="1" applyBorder="1"/>
    <xf numFmtId="164" fontId="18" fillId="5" borderId="17" xfId="6" applyFill="1" applyBorder="1"/>
    <xf numFmtId="10" fontId="4" fillId="0" borderId="1" xfId="2" applyNumberFormat="1" applyFont="1" applyFill="1" applyBorder="1" applyAlignment="1" applyProtection="1">
      <alignment horizontal="right" vertical="center" wrapText="1"/>
      <protection locked="0"/>
    </xf>
    <xf numFmtId="10" fontId="4" fillId="0" borderId="12"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9"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0" fontId="8" fillId="0" borderId="1" xfId="0" applyFont="1" applyBorder="1" applyAlignment="1">
      <alignment vertical="top" wrapText="1"/>
    </xf>
    <xf numFmtId="0" fontId="9" fillId="6" borderId="12" xfId="0" applyFont="1" applyFill="1" applyBorder="1" applyAlignment="1">
      <alignment horizontal="right" vertical="center"/>
    </xf>
    <xf numFmtId="0" fontId="9" fillId="6" borderId="1" xfId="0" applyFont="1" applyFill="1" applyBorder="1" applyAlignment="1">
      <alignment vertical="center"/>
    </xf>
    <xf numFmtId="9" fontId="9" fillId="0" borderId="1" xfId="2" applyFont="1" applyFill="1" applyBorder="1" applyAlignment="1" applyProtection="1">
      <alignment vertical="center"/>
      <protection locked="0"/>
    </xf>
    <xf numFmtId="9" fontId="20" fillId="6" borderId="1" xfId="2" applyFont="1" applyFill="1" applyBorder="1" applyAlignment="1" applyProtection="1">
      <alignment vertical="center"/>
      <protection locked="0"/>
    </xf>
    <xf numFmtId="9" fontId="20" fillId="6" borderId="19" xfId="2" applyFont="1" applyFill="1" applyBorder="1" applyAlignment="1" applyProtection="1">
      <alignment vertical="center"/>
      <protection locked="0"/>
    </xf>
    <xf numFmtId="167" fontId="0" fillId="0" borderId="0" xfId="2" applyNumberFormat="1" applyFont="1"/>
    <xf numFmtId="9" fontId="20" fillId="6" borderId="12" xfId="2" applyFont="1" applyFill="1" applyBorder="1" applyAlignment="1" applyProtection="1">
      <alignment vertical="center"/>
      <protection locked="0"/>
    </xf>
    <xf numFmtId="9" fontId="20" fillId="0" borderId="1" xfId="2" applyFont="1" applyFill="1" applyBorder="1" applyAlignment="1" applyProtection="1">
      <alignment vertical="center"/>
      <protection locked="0"/>
    </xf>
    <xf numFmtId="9" fontId="9" fillId="6" borderId="1" xfId="2" applyFont="1" applyFill="1" applyBorder="1" applyAlignment="1" applyProtection="1">
      <alignment vertical="center"/>
      <protection locked="0"/>
    </xf>
    <xf numFmtId="10" fontId="20" fillId="6" borderId="19" xfId="2" applyNumberFormat="1" applyFont="1" applyFill="1" applyBorder="1" applyAlignment="1" applyProtection="1">
      <alignment vertical="center"/>
      <protection locked="0"/>
    </xf>
    <xf numFmtId="9" fontId="18" fillId="5" borderId="20" xfId="6" applyNumberFormat="1" applyFill="1" applyBorder="1"/>
    <xf numFmtId="9" fontId="18" fillId="5" borderId="21" xfId="6" applyNumberFormat="1" applyFill="1" applyBorder="1"/>
    <xf numFmtId="9" fontId="18" fillId="5" borderId="22" xfId="6" applyNumberFormat="1" applyFill="1" applyBorder="1"/>
    <xf numFmtId="9" fontId="9" fillId="6" borderId="19" xfId="2" applyFont="1" applyFill="1" applyBorder="1" applyAlignment="1" applyProtection="1">
      <alignment vertical="center"/>
      <protection locked="0"/>
    </xf>
    <xf numFmtId="9" fontId="9" fillId="6" borderId="12" xfId="2" applyFont="1" applyFill="1" applyBorder="1" applyAlignment="1" applyProtection="1">
      <alignment vertical="center"/>
      <protection locked="0"/>
    </xf>
    <xf numFmtId="165" fontId="9" fillId="6" borderId="1" xfId="0" applyNumberFormat="1" applyFont="1" applyFill="1" applyBorder="1" applyAlignment="1" applyProtection="1">
      <alignment vertical="center"/>
      <protection locked="0"/>
    </xf>
    <xf numFmtId="0" fontId="15" fillId="0" borderId="12" xfId="0" applyFont="1" applyBorder="1" applyAlignment="1">
      <alignment horizontal="center" vertical="center" wrapText="1"/>
    </xf>
    <xf numFmtId="0" fontId="9" fillId="0" borderId="1" xfId="0" applyFont="1" applyBorder="1" applyAlignment="1">
      <alignment horizontal="left" vertical="center" wrapText="1"/>
    </xf>
    <xf numFmtId="165" fontId="9" fillId="0" borderId="1" xfId="0" applyNumberFormat="1" applyFont="1" applyBorder="1" applyAlignment="1" applyProtection="1">
      <alignment vertical="center"/>
      <protection locked="0"/>
    </xf>
    <xf numFmtId="165" fontId="9" fillId="0" borderId="19" xfId="0" applyNumberFormat="1" applyFont="1" applyBorder="1" applyAlignment="1" applyProtection="1">
      <alignment vertical="center"/>
      <protection locked="0"/>
    </xf>
    <xf numFmtId="165" fontId="9" fillId="6" borderId="12" xfId="0" applyNumberFormat="1" applyFont="1" applyFill="1" applyBorder="1" applyAlignment="1" applyProtection="1">
      <alignment vertical="center"/>
      <protection locked="0"/>
    </xf>
    <xf numFmtId="165" fontId="9" fillId="6" borderId="19" xfId="0" applyNumberFormat="1" applyFont="1" applyFill="1" applyBorder="1" applyAlignment="1" applyProtection="1">
      <alignment vertical="center"/>
      <protection locked="0"/>
    </xf>
    <xf numFmtId="165" fontId="20" fillId="0" borderId="1" xfId="0" applyNumberFormat="1" applyFont="1" applyBorder="1" applyAlignment="1" applyProtection="1">
      <alignment vertical="center"/>
      <protection locked="0"/>
    </xf>
    <xf numFmtId="165" fontId="20" fillId="0" borderId="19" xfId="0" applyNumberFormat="1" applyFont="1" applyBorder="1" applyAlignment="1" applyProtection="1">
      <alignment vertical="center"/>
      <protection locked="0"/>
    </xf>
    <xf numFmtId="165" fontId="20" fillId="6" borderId="12" xfId="0" applyNumberFormat="1" applyFont="1" applyFill="1" applyBorder="1" applyAlignment="1" applyProtection="1">
      <alignment vertical="center"/>
      <protection locked="0"/>
    </xf>
    <xf numFmtId="165" fontId="20" fillId="6" borderId="1" xfId="0" applyNumberFormat="1" applyFont="1" applyFill="1" applyBorder="1" applyAlignment="1" applyProtection="1">
      <alignment vertical="center"/>
      <protection locked="0"/>
    </xf>
    <xf numFmtId="165" fontId="20" fillId="6" borderId="19" xfId="0" applyNumberFormat="1" applyFont="1" applyFill="1" applyBorder="1" applyAlignment="1" applyProtection="1">
      <alignment vertical="center"/>
      <protection locked="0"/>
    </xf>
    <xf numFmtId="0" fontId="9" fillId="6" borderId="24" xfId="0" applyFont="1" applyFill="1" applyBorder="1" applyAlignment="1">
      <alignment horizontal="right" vertical="center"/>
    </xf>
    <xf numFmtId="0" fontId="9" fillId="6" borderId="2" xfId="0" applyFont="1" applyFill="1" applyBorder="1" applyAlignment="1">
      <alignment vertical="center"/>
    </xf>
    <xf numFmtId="167" fontId="9" fillId="0" borderId="1" xfId="2" applyNumberFormat="1" applyFont="1" applyFill="1" applyBorder="1" applyAlignment="1" applyProtection="1">
      <alignment vertical="center"/>
      <protection locked="0"/>
    </xf>
    <xf numFmtId="9" fontId="9" fillId="0" borderId="19" xfId="2" applyFont="1" applyFill="1" applyBorder="1" applyAlignment="1" applyProtection="1">
      <alignment vertical="center"/>
      <protection locked="0"/>
    </xf>
    <xf numFmtId="165" fontId="20" fillId="0" borderId="2" xfId="0" applyNumberFormat="1" applyFont="1" applyBorder="1" applyAlignment="1" applyProtection="1">
      <alignment vertical="center"/>
      <protection locked="0"/>
    </xf>
    <xf numFmtId="165" fontId="20" fillId="0" borderId="25" xfId="0" applyNumberFormat="1" applyFont="1" applyBorder="1" applyAlignment="1" applyProtection="1">
      <alignment vertical="center"/>
      <protection locked="0"/>
    </xf>
    <xf numFmtId="165" fontId="20" fillId="6" borderId="24" xfId="0" applyNumberFormat="1" applyFont="1" applyFill="1" applyBorder="1" applyAlignment="1" applyProtection="1">
      <alignment vertical="center"/>
      <protection locked="0"/>
    </xf>
    <xf numFmtId="165" fontId="20" fillId="6" borderId="2" xfId="0" applyNumberFormat="1" applyFont="1" applyFill="1" applyBorder="1" applyAlignment="1" applyProtection="1">
      <alignment vertical="center"/>
      <protection locked="0"/>
    </xf>
    <xf numFmtId="165" fontId="20" fillId="6" borderId="25" xfId="0" applyNumberFormat="1" applyFont="1" applyFill="1" applyBorder="1" applyAlignment="1" applyProtection="1">
      <alignment vertical="center"/>
      <protection locked="0"/>
    </xf>
    <xf numFmtId="0" fontId="9" fillId="6" borderId="26" xfId="0" applyFont="1" applyFill="1" applyBorder="1" applyAlignment="1">
      <alignment horizontal="right" vertical="center"/>
    </xf>
    <xf numFmtId="165" fontId="9" fillId="6" borderId="27" xfId="0" applyNumberFormat="1" applyFont="1" applyFill="1" applyBorder="1" applyAlignment="1" applyProtection="1">
      <alignment vertical="center"/>
      <protection locked="0"/>
    </xf>
    <xf numFmtId="10" fontId="9" fillId="0" borderId="27" xfId="2" applyNumberFormat="1" applyFont="1" applyFill="1" applyBorder="1" applyAlignment="1" applyProtection="1">
      <alignment vertical="center"/>
      <protection locked="0"/>
    </xf>
    <xf numFmtId="10" fontId="20" fillId="0" borderId="27" xfId="2" applyNumberFormat="1" applyFont="1" applyFill="1" applyBorder="1" applyAlignment="1" applyProtection="1">
      <alignment vertical="center"/>
      <protection locked="0"/>
    </xf>
    <xf numFmtId="9" fontId="20" fillId="0" borderId="27" xfId="2" applyFont="1" applyFill="1" applyBorder="1" applyAlignment="1" applyProtection="1">
      <alignment vertical="center"/>
      <protection locked="0"/>
    </xf>
    <xf numFmtId="9" fontId="20" fillId="0" borderId="28" xfId="2" applyFont="1" applyFill="1" applyBorder="1" applyAlignment="1" applyProtection="1">
      <alignment vertical="center"/>
      <protection locked="0"/>
    </xf>
    <xf numFmtId="9" fontId="20" fillId="6" borderId="26" xfId="2" applyFont="1" applyFill="1" applyBorder="1" applyAlignment="1" applyProtection="1">
      <alignment vertical="center"/>
      <protection locked="0"/>
    </xf>
    <xf numFmtId="9" fontId="20" fillId="6" borderId="27" xfId="2" applyFont="1" applyFill="1" applyBorder="1" applyAlignment="1" applyProtection="1">
      <alignment vertical="center"/>
      <protection locked="0"/>
    </xf>
    <xf numFmtId="9" fontId="20" fillId="6" borderId="28" xfId="2" applyFont="1" applyFill="1" applyBorder="1" applyAlignment="1" applyProtection="1">
      <alignment vertical="center"/>
      <protection locked="0"/>
    </xf>
    <xf numFmtId="0" fontId="9" fillId="0" borderId="0" xfId="0" applyFont="1" applyAlignment="1">
      <alignment horizontal="right"/>
    </xf>
    <xf numFmtId="166" fontId="21" fillId="0" borderId="0" xfId="1" applyNumberFormat="1" applyFont="1"/>
    <xf numFmtId="0" fontId="9" fillId="0" borderId="0" xfId="0" applyFont="1"/>
    <xf numFmtId="0" fontId="4" fillId="0" borderId="0" xfId="0" applyFont="1" applyAlignment="1">
      <alignment wrapText="1"/>
    </xf>
    <xf numFmtId="0" fontId="8" fillId="0" borderId="0" xfId="0" applyFont="1" applyAlignment="1">
      <alignment wrapText="1"/>
    </xf>
    <xf numFmtId="166" fontId="8" fillId="0" borderId="0" xfId="1" applyNumberFormat="1" applyFont="1"/>
    <xf numFmtId="166" fontId="4" fillId="0" borderId="0" xfId="1" applyNumberFormat="1" applyFont="1"/>
    <xf numFmtId="0" fontId="0" fillId="0" borderId="1" xfId="0" applyBorder="1" applyAlignment="1">
      <alignment horizontal="center" vertical="center"/>
    </xf>
    <xf numFmtId="0" fontId="22" fillId="0" borderId="2" xfId="0" applyFont="1" applyBorder="1" applyAlignment="1">
      <alignment horizontal="center" vertical="center"/>
    </xf>
    <xf numFmtId="166" fontId="14" fillId="0" borderId="10" xfId="1" applyNumberFormat="1" applyFont="1" applyBorder="1" applyAlignment="1">
      <alignment horizontal="center" vertical="center"/>
    </xf>
    <xf numFmtId="166" fontId="14" fillId="0" borderId="11" xfId="1" applyNumberFormat="1" applyFont="1" applyBorder="1" applyAlignment="1">
      <alignment horizontal="center" vertical="center"/>
    </xf>
    <xf numFmtId="166" fontId="0" fillId="0" borderId="0" xfId="0" applyNumberFormat="1"/>
    <xf numFmtId="0" fontId="22" fillId="0" borderId="29" xfId="0" applyFont="1" applyBorder="1" applyAlignment="1">
      <alignment horizontal="center" vertical="center"/>
    </xf>
    <xf numFmtId="166" fontId="9"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166" fontId="0" fillId="0" borderId="20" xfId="1" applyNumberFormat="1" applyFont="1" applyBorder="1" applyAlignment="1">
      <alignment horizontal="center"/>
    </xf>
    <xf numFmtId="166" fontId="0" fillId="0" borderId="21" xfId="1" applyNumberFormat="1" applyFont="1" applyBorder="1" applyAlignment="1">
      <alignment horizontal="center"/>
    </xf>
    <xf numFmtId="166" fontId="0" fillId="0" borderId="30" xfId="1" applyNumberFormat="1" applyFont="1" applyBorder="1" applyAlignment="1">
      <alignment horizontal="center"/>
    </xf>
    <xf numFmtId="0" fontId="0" fillId="0" borderId="1" xfId="0" applyBorder="1" applyAlignment="1">
      <alignment horizontal="center"/>
    </xf>
    <xf numFmtId="0" fontId="23" fillId="2" borderId="1" xfId="7" applyFont="1" applyFill="1" applyBorder="1" applyAlignment="1">
      <alignment horizontal="left" vertical="center" wrapText="1"/>
    </xf>
    <xf numFmtId="166" fontId="4" fillId="0" borderId="1" xfId="1" applyNumberFormat="1" applyFont="1" applyBorder="1"/>
    <xf numFmtId="166" fontId="4" fillId="7" borderId="1" xfId="1" applyNumberFormat="1" applyFont="1" applyFill="1" applyBorder="1"/>
    <xf numFmtId="0" fontId="24" fillId="0" borderId="1" xfId="7" applyFont="1" applyBorder="1" applyAlignment="1">
      <alignment horizontal="left" vertical="center" wrapText="1" indent="1"/>
    </xf>
    <xf numFmtId="166" fontId="4" fillId="0" borderId="1" xfId="1" applyNumberFormat="1" applyFont="1" applyFill="1" applyBorder="1"/>
    <xf numFmtId="0" fontId="25" fillId="2" borderId="1" xfId="7" applyFont="1" applyFill="1" applyBorder="1" applyAlignment="1">
      <alignment horizontal="left" vertical="center" wrapText="1"/>
    </xf>
    <xf numFmtId="0" fontId="24" fillId="2" borderId="1" xfId="7" applyFont="1" applyFill="1" applyBorder="1" applyAlignment="1">
      <alignment horizontal="left" vertical="center" wrapText="1" indent="1"/>
    </xf>
    <xf numFmtId="0" fontId="23" fillId="0" borderId="31" xfId="0" applyFont="1" applyBorder="1" applyAlignment="1">
      <alignment horizontal="left" vertical="center" wrapText="1"/>
    </xf>
    <xf numFmtId="0" fontId="25" fillId="0" borderId="31" xfId="0" applyFont="1" applyBorder="1" applyAlignment="1">
      <alignment horizontal="left" vertical="center" wrapText="1"/>
    </xf>
    <xf numFmtId="166" fontId="4" fillId="0" borderId="1" xfId="1" applyNumberFormat="1" applyFont="1" applyBorder="1" applyAlignment="1">
      <alignment vertical="center"/>
    </xf>
    <xf numFmtId="166" fontId="4" fillId="7" borderId="1" xfId="1" applyNumberFormat="1" applyFont="1" applyFill="1" applyBorder="1" applyAlignment="1">
      <alignment vertical="center"/>
    </xf>
    <xf numFmtId="0" fontId="26" fillId="2" borderId="31" xfId="0" applyFont="1" applyFill="1" applyBorder="1" applyAlignment="1">
      <alignment horizontal="left" vertical="center" wrapText="1" indent="1"/>
    </xf>
    <xf numFmtId="0" fontId="25" fillId="2" borderId="31" xfId="0" applyFont="1" applyFill="1" applyBorder="1" applyAlignment="1">
      <alignment vertical="top" wrapText="1"/>
    </xf>
    <xf numFmtId="0" fontId="25" fillId="2" borderId="32" xfId="0" applyFont="1" applyFill="1" applyBorder="1" applyAlignment="1">
      <alignment horizontal="left" vertical="center" wrapText="1"/>
    </xf>
    <xf numFmtId="0" fontId="26" fillId="0" borderId="31" xfId="0" applyFont="1" applyBorder="1" applyAlignment="1">
      <alignment horizontal="left" vertical="center" wrapText="1" indent="1"/>
    </xf>
    <xf numFmtId="0" fontId="26" fillId="0" borderId="1" xfId="7" applyFont="1" applyBorder="1" applyAlignment="1">
      <alignment horizontal="left" vertical="center" wrapText="1" indent="1"/>
    </xf>
    <xf numFmtId="0" fontId="25" fillId="0" borderId="1" xfId="7" applyFont="1" applyBorder="1" applyAlignment="1">
      <alignment horizontal="left" vertical="center" wrapText="1"/>
    </xf>
    <xf numFmtId="0" fontId="27" fillId="0" borderId="1" xfId="7" applyFont="1" applyBorder="1" applyAlignment="1">
      <alignment horizontal="center" vertical="center" wrapText="1"/>
    </xf>
    <xf numFmtId="166" fontId="4" fillId="0" borderId="20" xfId="1" applyNumberFormat="1" applyFont="1" applyBorder="1" applyAlignment="1">
      <alignment horizontal="center"/>
    </xf>
    <xf numFmtId="166" fontId="4" fillId="0" borderId="21" xfId="1" applyNumberFormat="1" applyFont="1" applyBorder="1" applyAlignment="1">
      <alignment horizontal="center"/>
    </xf>
    <xf numFmtId="166" fontId="4" fillId="0" borderId="30" xfId="1" applyNumberFormat="1" applyFont="1" applyBorder="1" applyAlignment="1">
      <alignment horizontal="center"/>
    </xf>
    <xf numFmtId="0" fontId="25" fillId="2" borderId="33" xfId="0" applyFont="1" applyFill="1" applyBorder="1" applyAlignment="1">
      <alignment horizontal="left" vertical="center" wrapText="1"/>
    </xf>
    <xf numFmtId="0" fontId="25" fillId="2" borderId="31" xfId="0" applyFont="1" applyFill="1" applyBorder="1" applyAlignment="1">
      <alignment horizontal="left" vertical="center" wrapText="1"/>
    </xf>
    <xf numFmtId="43" fontId="0" fillId="0" borderId="0" xfId="0" applyNumberFormat="1"/>
    <xf numFmtId="0" fontId="24" fillId="2" borderId="31" xfId="0" applyFont="1" applyFill="1" applyBorder="1" applyAlignment="1">
      <alignment horizontal="left" vertical="center" wrapText="1" indent="1"/>
    </xf>
    <xf numFmtId="0" fontId="24" fillId="0" borderId="31" xfId="0" applyFont="1" applyBorder="1" applyAlignment="1">
      <alignment horizontal="left" vertical="center" wrapText="1" indent="1"/>
    </xf>
    <xf numFmtId="0" fontId="24" fillId="0" borderId="32" xfId="0" applyFont="1" applyBorder="1" applyAlignment="1">
      <alignment horizontal="left" vertical="center" wrapText="1" indent="1"/>
    </xf>
    <xf numFmtId="0" fontId="28" fillId="0" borderId="1" xfId="0" applyFont="1" applyBorder="1" applyAlignment="1">
      <alignment horizontal="left"/>
    </xf>
    <xf numFmtId="0" fontId="25"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0" fillId="0" borderId="34" xfId="0" applyBorder="1" applyAlignment="1">
      <alignment horizontal="center" vertical="center"/>
    </xf>
    <xf numFmtId="0" fontId="22" fillId="0" borderId="2"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35" xfId="0" applyBorder="1" applyAlignment="1">
      <alignment horizontal="center" vertical="center"/>
    </xf>
    <xf numFmtId="0" fontId="22"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25" fillId="0" borderId="36" xfId="0" applyFont="1" applyBorder="1" applyAlignment="1">
      <alignment horizontal="justify" vertical="center" wrapText="1"/>
    </xf>
    <xf numFmtId="43" fontId="0" fillId="0" borderId="1" xfId="1" applyFont="1" applyBorder="1"/>
    <xf numFmtId="43" fontId="0" fillId="7" borderId="1" xfId="1" applyFont="1" applyFill="1" applyBorder="1"/>
    <xf numFmtId="0" fontId="24" fillId="0" borderId="33" xfId="0" applyFont="1" applyBorder="1" applyAlignment="1">
      <alignment horizontal="left" vertical="center" wrapText="1" indent="1"/>
    </xf>
    <xf numFmtId="0" fontId="25" fillId="0" borderId="31" xfId="0" applyFont="1" applyBorder="1" applyAlignment="1">
      <alignment horizontal="justify" vertical="center" wrapText="1"/>
    </xf>
    <xf numFmtId="0" fontId="25" fillId="0" borderId="31" xfId="0" applyFont="1" applyBorder="1" applyAlignment="1">
      <alignment vertical="top" wrapText="1"/>
    </xf>
    <xf numFmtId="0" fontId="23" fillId="0" borderId="31" xfId="0" applyFont="1" applyBorder="1" applyAlignment="1">
      <alignment horizontal="justify" vertical="center" wrapText="1"/>
    </xf>
    <xf numFmtId="0" fontId="25" fillId="2" borderId="31" xfId="0" applyFont="1" applyFill="1" applyBorder="1" applyAlignment="1">
      <alignment horizontal="justify" vertical="center" wrapText="1"/>
    </xf>
    <xf numFmtId="166" fontId="0" fillId="0" borderId="1" xfId="1" applyNumberFormat="1" applyFont="1" applyFill="1" applyBorder="1"/>
    <xf numFmtId="166" fontId="0" fillId="0" borderId="1" xfId="1" applyNumberFormat="1" applyFont="1" applyBorder="1"/>
    <xf numFmtId="0" fontId="25" fillId="0" borderId="32" xfId="0" applyFont="1" applyBorder="1" applyAlignment="1">
      <alignment horizontal="justify" vertical="center" wrapText="1"/>
    </xf>
    <xf numFmtId="0" fontId="25" fillId="0" borderId="33" xfId="0" applyFont="1" applyBorder="1" applyAlignment="1">
      <alignment horizontal="justify" vertical="center" wrapText="1"/>
    </xf>
    <xf numFmtId="166" fontId="0" fillId="7" borderId="1" xfId="1" applyNumberFormat="1" applyFont="1" applyFill="1" applyBorder="1"/>
    <xf numFmtId="0" fontId="25" fillId="0" borderId="1" xfId="7" applyFont="1" applyBorder="1" applyAlignment="1">
      <alignment horizontal="justify" vertical="center" wrapText="1"/>
    </xf>
    <xf numFmtId="0" fontId="26" fillId="0" borderId="37" xfId="0" applyFont="1" applyBorder="1" applyAlignment="1">
      <alignment horizontal="left" vertical="center" wrapText="1" indent="1"/>
    </xf>
    <xf numFmtId="0" fontId="23"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5" fillId="0" borderId="31" xfId="0" applyFont="1" applyBorder="1" applyAlignment="1">
      <alignment vertical="center" wrapText="1"/>
    </xf>
    <xf numFmtId="0" fontId="25" fillId="0" borderId="1" xfId="7" applyFont="1" applyBorder="1" applyAlignment="1">
      <alignment vertical="center" wrapText="1"/>
    </xf>
    <xf numFmtId="0" fontId="0" fillId="0" borderId="1" xfId="0" applyBorder="1" applyAlignment="1">
      <alignment horizontal="center" vertical="center" wrapText="1"/>
    </xf>
    <xf numFmtId="0" fontId="14" fillId="0" borderId="10" xfId="0" applyFont="1" applyBorder="1" applyAlignment="1">
      <alignment horizontal="center"/>
    </xf>
    <xf numFmtId="0" fontId="14" fillId="0" borderId="11" xfId="0" applyFont="1" applyBorder="1" applyAlignment="1">
      <alignment horizontal="center"/>
    </xf>
    <xf numFmtId="0" fontId="9" fillId="0" borderId="19" xfId="0" applyFont="1" applyBorder="1" applyAlignment="1">
      <alignment horizontal="center" vertical="center" wrapText="1"/>
    </xf>
    <xf numFmtId="0" fontId="15" fillId="0" borderId="1" xfId="0" applyFont="1" applyBorder="1" applyAlignment="1">
      <alignment vertical="center" wrapText="1"/>
    </xf>
    <xf numFmtId="165" fontId="9" fillId="0" borderId="1" xfId="0" applyNumberFormat="1" applyFont="1" applyBorder="1" applyAlignment="1">
      <alignment horizontal="right"/>
    </xf>
    <xf numFmtId="165" fontId="9" fillId="7" borderId="1" xfId="0" applyNumberFormat="1" applyFont="1" applyFill="1" applyBorder="1" applyAlignment="1">
      <alignment horizontal="right"/>
    </xf>
    <xf numFmtId="165" fontId="9" fillId="7" borderId="19" xfId="0" applyNumberFormat="1" applyFont="1" applyFill="1" applyBorder="1" applyAlignment="1">
      <alignment horizontal="right"/>
    </xf>
    <xf numFmtId="0" fontId="8" fillId="0" borderId="1" xfId="0" applyFont="1" applyBorder="1" applyAlignment="1">
      <alignment horizontal="left" vertical="center" wrapText="1" indent="1"/>
    </xf>
    <xf numFmtId="0" fontId="3" fillId="0" borderId="1" xfId="0" applyFont="1" applyBorder="1" applyAlignment="1">
      <alignment vertical="center"/>
    </xf>
    <xf numFmtId="0" fontId="32" fillId="0" borderId="1" xfId="0" applyFont="1" applyBorder="1" applyAlignment="1" applyProtection="1">
      <alignment horizontal="left" vertical="center" indent="1"/>
      <protection locked="0"/>
    </xf>
    <xf numFmtId="0" fontId="33" fillId="0" borderId="1" xfId="0" applyFont="1" applyBorder="1" applyAlignment="1" applyProtection="1">
      <alignment horizontal="left" vertical="center" indent="3"/>
      <protection locked="0"/>
    </xf>
    <xf numFmtId="0" fontId="34" fillId="0" borderId="1" xfId="0" applyFont="1" applyBorder="1" applyAlignment="1" applyProtection="1">
      <alignment horizontal="left" vertical="center" indent="3"/>
      <protection locked="0"/>
    </xf>
    <xf numFmtId="0" fontId="34" fillId="0" borderId="1" xfId="0" applyFont="1" applyBorder="1" applyAlignment="1" applyProtection="1">
      <alignment vertical="top" wrapText="1"/>
      <protection locked="0"/>
    </xf>
    <xf numFmtId="0" fontId="3" fillId="0" borderId="1" xfId="0" applyFont="1" applyBorder="1"/>
    <xf numFmtId="165" fontId="9" fillId="0" borderId="0" xfId="0" applyNumberFormat="1" applyFont="1" applyAlignment="1">
      <alignment horizontal="right"/>
    </xf>
    <xf numFmtId="0" fontId="35" fillId="0" borderId="0" xfId="0" applyFont="1"/>
    <xf numFmtId="0" fontId="4" fillId="0" borderId="5" xfId="0" applyFont="1" applyBorder="1"/>
    <xf numFmtId="0" fontId="36" fillId="0" borderId="5" xfId="0" applyFont="1" applyBorder="1" applyAlignment="1">
      <alignment horizontal="center"/>
    </xf>
    <xf numFmtId="0" fontId="37" fillId="0" borderId="5" xfId="0" applyFont="1" applyBorder="1" applyAlignment="1">
      <alignment horizontal="center"/>
    </xf>
    <xf numFmtId="0" fontId="4" fillId="0" borderId="38" xfId="0" applyFont="1" applyBorder="1" applyAlignment="1">
      <alignment vertical="center" wrapText="1"/>
    </xf>
    <xf numFmtId="0" fontId="36" fillId="0" borderId="29" xfId="0" applyFont="1" applyBorder="1" applyAlignment="1">
      <alignment vertical="center" wrapText="1"/>
    </xf>
    <xf numFmtId="0" fontId="5" fillId="0" borderId="10" xfId="0" applyFont="1" applyBorder="1" applyAlignment="1">
      <alignment horizontal="center" vertical="center" wrapText="1"/>
    </xf>
    <xf numFmtId="0" fontId="38" fillId="0" borderId="12" xfId="0" applyFont="1" applyBorder="1" applyAlignment="1">
      <alignment horizontal="center" vertical="center" wrapText="1"/>
    </xf>
    <xf numFmtId="0" fontId="4" fillId="0" borderId="1" xfId="0" applyFont="1" applyBorder="1" applyAlignment="1">
      <alignment vertical="center" wrapText="1"/>
    </xf>
    <xf numFmtId="3" fontId="39" fillId="7" borderId="1" xfId="0" applyNumberFormat="1" applyFont="1" applyFill="1" applyBorder="1" applyAlignment="1">
      <alignment vertical="center" wrapText="1"/>
    </xf>
    <xf numFmtId="3" fontId="39" fillId="7" borderId="22" xfId="0" applyNumberFormat="1" applyFont="1" applyFill="1" applyBorder="1" applyAlignment="1">
      <alignment vertical="center" wrapText="1"/>
    </xf>
    <xf numFmtId="166" fontId="40" fillId="8" borderId="0" xfId="1" applyNumberFormat="1" applyFont="1" applyFill="1"/>
    <xf numFmtId="14" fontId="8" fillId="2" borderId="1" xfId="8" quotePrefix="1" applyNumberFormat="1" applyFont="1" applyFill="1" applyBorder="1" applyAlignment="1" applyProtection="1">
      <alignment horizontal="left" vertical="center" wrapText="1" indent="2"/>
      <protection locked="0"/>
    </xf>
    <xf numFmtId="3" fontId="39" fillId="0" borderId="1" xfId="0" applyNumberFormat="1" applyFont="1" applyBorder="1" applyAlignment="1">
      <alignment vertical="center" wrapText="1"/>
    </xf>
    <xf numFmtId="3" fontId="39" fillId="0" borderId="20" xfId="0" applyNumberFormat="1" applyFont="1" applyBorder="1" applyAlignment="1">
      <alignment vertical="center" wrapText="1"/>
    </xf>
    <xf numFmtId="3" fontId="39" fillId="0" borderId="22"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14" fontId="35" fillId="0" borderId="0" xfId="0" applyNumberFormat="1" applyFont="1"/>
    <xf numFmtId="0" fontId="4" fillId="0" borderId="1" xfId="0" applyFont="1" applyBorder="1" applyAlignment="1">
      <alignment horizontal="left" vertical="center" wrapText="1" indent="2"/>
    </xf>
    <xf numFmtId="0" fontId="38" fillId="0" borderId="26" xfId="0" applyFont="1" applyBorder="1" applyAlignment="1">
      <alignment horizontal="center" vertical="center" wrapText="1"/>
    </xf>
    <xf numFmtId="0" fontId="36" fillId="0" borderId="27" xfId="0" applyFont="1" applyBorder="1" applyAlignment="1">
      <alignment vertical="center" wrapText="1"/>
    </xf>
    <xf numFmtId="3" fontId="39" fillId="7" borderId="27" xfId="0" applyNumberFormat="1" applyFont="1" applyFill="1" applyBorder="1" applyAlignment="1">
      <alignment vertical="center" wrapText="1"/>
    </xf>
    <xf numFmtId="3" fontId="39" fillId="7" borderId="39" xfId="0" applyNumberFormat="1" applyFont="1" applyFill="1" applyBorder="1" applyAlignment="1">
      <alignment vertical="center" wrapText="1"/>
    </xf>
    <xf numFmtId="3" fontId="4" fillId="0" borderId="0" xfId="0" applyNumberFormat="1" applyFont="1"/>
    <xf numFmtId="0" fontId="4" fillId="0" borderId="0" xfId="0" applyFont="1" applyAlignment="1">
      <alignment vertical="top" wrapText="1"/>
    </xf>
    <xf numFmtId="0" fontId="9" fillId="0" borderId="0" xfId="0" applyFont="1" applyAlignment="1">
      <alignment horizontal="left" wrapText="1"/>
    </xf>
    <xf numFmtId="0" fontId="14" fillId="0" borderId="5" xfId="0" applyFont="1" applyBorder="1" applyAlignment="1">
      <alignment horizontal="center" wrapText="1"/>
    </xf>
    <xf numFmtId="0" fontId="9" fillId="0" borderId="9" xfId="0" applyFont="1" applyBorder="1"/>
    <xf numFmtId="0" fontId="14" fillId="0" borderId="40" xfId="0" applyFont="1" applyBorder="1" applyAlignment="1">
      <alignment horizontal="center" wrapText="1"/>
    </xf>
    <xf numFmtId="0" fontId="14" fillId="0" borderId="11" xfId="0" applyFont="1" applyBorder="1" applyAlignment="1">
      <alignment horizontal="center"/>
    </xf>
    <xf numFmtId="0" fontId="9" fillId="0" borderId="12" xfId="0" applyFont="1" applyBorder="1" applyAlignment="1">
      <alignment vertical="center"/>
    </xf>
    <xf numFmtId="0" fontId="42" fillId="0" borderId="20" xfId="0" applyFont="1" applyBorder="1" applyAlignment="1">
      <alignment wrapText="1"/>
    </xf>
    <xf numFmtId="0" fontId="4" fillId="0" borderId="19" xfId="0" applyFont="1" applyBorder="1"/>
    <xf numFmtId="0" fontId="42" fillId="0" borderId="1"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20" xfId="0" applyFont="1" applyBorder="1" applyAlignment="1">
      <alignment wrapText="1"/>
    </xf>
    <xf numFmtId="0" fontId="9" fillId="0" borderId="19" xfId="0" applyFont="1" applyBorder="1" applyAlignment="1">
      <alignment wrapText="1"/>
    </xf>
    <xf numFmtId="0" fontId="9" fillId="0" borderId="20" xfId="0" applyFont="1" applyBorder="1" applyAlignment="1">
      <alignment vertical="top" wrapText="1"/>
    </xf>
    <xf numFmtId="0" fontId="9" fillId="0" borderId="22" xfId="0" applyFont="1" applyBorder="1" applyAlignment="1">
      <alignment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0" xfId="0" applyAlignment="1">
      <alignment wrapText="1"/>
    </xf>
    <xf numFmtId="10" fontId="4" fillId="0" borderId="22" xfId="2" applyNumberFormat="1" applyFont="1" applyBorder="1" applyAlignment="1">
      <alignment horizontal="center"/>
    </xf>
    <xf numFmtId="0" fontId="4" fillId="0" borderId="22" xfId="0" applyFont="1" applyBorder="1"/>
    <xf numFmtId="166" fontId="0" fillId="0" borderId="0" xfId="1" applyNumberFormat="1" applyFont="1" applyFill="1"/>
    <xf numFmtId="10" fontId="4" fillId="0" borderId="19" xfId="2" applyNumberFormat="1" applyFont="1" applyBorder="1"/>
    <xf numFmtId="0" fontId="9" fillId="0" borderId="24" xfId="0" applyFont="1" applyBorder="1" applyAlignment="1">
      <alignment vertical="center"/>
    </xf>
    <xf numFmtId="0" fontId="42" fillId="0" borderId="3" xfId="0" applyFont="1" applyBorder="1" applyAlignment="1">
      <alignment wrapText="1"/>
    </xf>
    <xf numFmtId="10" fontId="4" fillId="0" borderId="25" xfId="2" applyNumberFormat="1" applyFont="1" applyBorder="1"/>
    <xf numFmtId="10" fontId="4" fillId="0" borderId="25" xfId="2" applyNumberFormat="1" applyFont="1" applyFill="1" applyBorder="1"/>
    <xf numFmtId="0" fontId="9" fillId="0" borderId="24" xfId="0" applyFont="1" applyBorder="1" applyAlignment="1">
      <alignment horizontal="right" vertical="center"/>
    </xf>
    <xf numFmtId="0" fontId="9" fillId="0" borderId="26" xfId="0" applyFont="1" applyBorder="1"/>
    <xf numFmtId="0" fontId="42" fillId="0" borderId="41" xfId="0" applyFont="1" applyBorder="1" applyAlignment="1">
      <alignment wrapText="1"/>
    </xf>
    <xf numFmtId="0" fontId="4" fillId="0" borderId="28" xfId="0" applyFont="1" applyBorder="1"/>
    <xf numFmtId="0" fontId="2" fillId="0" borderId="0" xfId="0" applyFont="1"/>
    <xf numFmtId="0" fontId="43" fillId="0" borderId="0" xfId="5" applyFont="1"/>
    <xf numFmtId="0" fontId="9" fillId="0" borderId="5" xfId="5" applyFont="1" applyBorder="1"/>
    <xf numFmtId="0" fontId="15" fillId="0" borderId="5" xfId="5" applyFont="1" applyBorder="1" applyAlignment="1">
      <alignment horizontal="left" vertical="center"/>
    </xf>
    <xf numFmtId="0" fontId="9" fillId="0" borderId="0" xfId="5" applyFont="1" applyAlignment="1">
      <alignment horizontal="left"/>
    </xf>
    <xf numFmtId="0" fontId="37" fillId="0" borderId="0" xfId="5" applyFont="1" applyAlignment="1">
      <alignment horizontal="right"/>
    </xf>
    <xf numFmtId="0" fontId="8" fillId="0" borderId="9" xfId="5" applyFont="1" applyBorder="1" applyAlignment="1">
      <alignment vertical="center"/>
    </xf>
    <xf numFmtId="0" fontId="8" fillId="0" borderId="10" xfId="5" applyFont="1" applyBorder="1" applyAlignment="1">
      <alignment vertical="center"/>
    </xf>
    <xf numFmtId="0" fontId="15" fillId="0" borderId="10" xfId="5" applyFont="1" applyBorder="1" applyAlignment="1">
      <alignment horizontal="center" vertical="center"/>
    </xf>
    <xf numFmtId="0" fontId="15" fillId="0" borderId="11" xfId="5" applyFont="1" applyBorder="1" applyAlignment="1">
      <alignment horizontal="center" vertical="center"/>
    </xf>
    <xf numFmtId="0" fontId="21" fillId="0" borderId="0" xfId="5" applyFont="1" applyAlignment="1">
      <alignment vertical="center"/>
    </xf>
    <xf numFmtId="0" fontId="8" fillId="0" borderId="0" xfId="5" applyFont="1" applyAlignment="1">
      <alignment vertical="center"/>
    </xf>
    <xf numFmtId="0" fontId="0" fillId="0" borderId="12" xfId="0" applyBorder="1"/>
    <xf numFmtId="0" fontId="4" fillId="0" borderId="1" xfId="0" applyFont="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4" fillId="0" borderId="29" xfId="0" applyFont="1" applyBorder="1" applyAlignment="1">
      <alignment horizontal="center" vertical="center" wrapText="1"/>
    </xf>
    <xf numFmtId="0" fontId="4" fillId="0" borderId="42" xfId="0" applyFont="1" applyBorder="1" applyAlignment="1">
      <alignment horizontal="center" vertical="center" wrapText="1"/>
    </xf>
    <xf numFmtId="43" fontId="4" fillId="0" borderId="1" xfId="1" applyFont="1" applyFill="1" applyBorder="1" applyAlignment="1">
      <alignment vertical="center" wrapText="1"/>
    </xf>
    <xf numFmtId="43" fontId="2" fillId="0" borderId="0" xfId="0" applyNumberFormat="1" applyFont="1"/>
    <xf numFmtId="43" fontId="4" fillId="0" borderId="1" xfId="1" applyFont="1" applyBorder="1" applyAlignment="1">
      <alignment vertical="center"/>
    </xf>
    <xf numFmtId="0" fontId="26" fillId="2" borderId="31" xfId="0" applyFont="1" applyFill="1" applyBorder="1" applyAlignment="1">
      <alignment vertical="top" wrapText="1"/>
    </xf>
    <xf numFmtId="0" fontId="0" fillId="0" borderId="26" xfId="0" applyBorder="1"/>
    <xf numFmtId="0" fontId="36" fillId="7" borderId="43" xfId="0" applyFont="1" applyFill="1" applyBorder="1" applyAlignment="1">
      <alignment vertical="center" wrapText="1"/>
    </xf>
    <xf numFmtId="169" fontId="36" fillId="7" borderId="27" xfId="0" applyNumberFormat="1"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9" xfId="0" applyBorder="1" applyAlignment="1">
      <alignment horizontal="center" vertical="center"/>
    </xf>
    <xf numFmtId="0" fontId="36" fillId="7" borderId="44" xfId="0" applyFont="1" applyFill="1" applyBorder="1" applyAlignment="1">
      <alignment wrapText="1"/>
    </xf>
    <xf numFmtId="165" fontId="0" fillId="7" borderId="11" xfId="0" applyNumberFormat="1" applyFill="1" applyBorder="1" applyAlignment="1">
      <alignment horizontal="center" vertical="center"/>
    </xf>
    <xf numFmtId="166" fontId="2" fillId="0" borderId="0" xfId="1" applyNumberFormat="1" applyFont="1"/>
    <xf numFmtId="0" fontId="4" fillId="0" borderId="12" xfId="0" applyFont="1" applyBorder="1" applyAlignment="1">
      <alignment horizontal="center" vertical="center"/>
    </xf>
    <xf numFmtId="0" fontId="4" fillId="0" borderId="21" xfId="0" applyFont="1" applyBorder="1"/>
    <xf numFmtId="165" fontId="0" fillId="0" borderId="19" xfId="0" applyNumberFormat="1" applyBorder="1"/>
    <xf numFmtId="0" fontId="4" fillId="0" borderId="12" xfId="0" applyFont="1" applyBorder="1" applyAlignment="1">
      <alignment horizontal="center" vertical="center" wrapText="1"/>
    </xf>
    <xf numFmtId="0" fontId="4" fillId="0" borderId="21" xfId="0" applyFont="1" applyBorder="1" applyAlignment="1">
      <alignment vertical="center" wrapText="1"/>
    </xf>
    <xf numFmtId="165" fontId="0" fillId="0" borderId="19" xfId="0" applyNumberFormat="1" applyBorder="1" applyAlignment="1">
      <alignment wrapText="1"/>
    </xf>
    <xf numFmtId="0" fontId="36" fillId="7" borderId="21" xfId="0" applyFont="1" applyFill="1" applyBorder="1" applyAlignment="1">
      <alignment wrapText="1"/>
    </xf>
    <xf numFmtId="165" fontId="0" fillId="7" borderId="19" xfId="0" applyNumberFormat="1" applyFill="1" applyBorder="1" applyAlignment="1">
      <alignment horizontal="center" vertical="center" wrapText="1"/>
    </xf>
    <xf numFmtId="0" fontId="4" fillId="0" borderId="21" xfId="0" applyFont="1" applyBorder="1" applyAlignment="1">
      <alignment vertical="center"/>
    </xf>
    <xf numFmtId="0" fontId="4" fillId="0" borderId="21" xfId="0" applyFont="1" applyBorder="1" applyAlignment="1">
      <alignment wrapText="1"/>
    </xf>
    <xf numFmtId="0" fontId="4" fillId="0" borderId="26" xfId="0" applyFont="1" applyBorder="1" applyAlignment="1">
      <alignment horizontal="center" vertical="center" wrapText="1"/>
    </xf>
    <xf numFmtId="0" fontId="36" fillId="7" borderId="45" xfId="0" applyFont="1" applyFill="1" applyBorder="1" applyAlignment="1">
      <alignment wrapText="1"/>
    </xf>
    <xf numFmtId="165" fontId="0" fillId="7" borderId="28" xfId="0" applyNumberFormat="1" applyFill="1" applyBorder="1" applyAlignment="1">
      <alignment horizontal="center" vertical="center" wrapText="1"/>
    </xf>
    <xf numFmtId="3" fontId="0" fillId="0" borderId="0" xfId="0" applyNumberFormat="1"/>
    <xf numFmtId="0" fontId="4" fillId="0" borderId="0" xfId="0" applyFont="1" applyAlignment="1">
      <alignment horizontal="center" vertical="center"/>
    </xf>
    <xf numFmtId="0" fontId="7" fillId="0" borderId="0" xfId="0" applyFont="1" applyAlignment="1">
      <alignment horizontal="center" vertical="center"/>
    </xf>
    <xf numFmtId="0" fontId="21" fillId="0" borderId="0" xfId="0" applyFont="1"/>
    <xf numFmtId="0" fontId="36" fillId="0" borderId="0" xfId="0" applyFont="1" applyAlignment="1">
      <alignment horizontal="center"/>
    </xf>
    <xf numFmtId="0" fontId="8" fillId="0" borderId="9" xfId="9" applyFont="1" applyBorder="1" applyAlignment="1" applyProtection="1">
      <alignment horizontal="center" vertical="center"/>
      <protection locked="0"/>
    </xf>
    <xf numFmtId="0" fontId="15" fillId="2" borderId="46" xfId="9" applyFont="1" applyFill="1" applyBorder="1" applyAlignment="1" applyProtection="1">
      <alignment horizontal="center" vertical="center" wrapText="1"/>
      <protection locked="0"/>
    </xf>
    <xf numFmtId="166" fontId="8" fillId="2" borderId="11" xfId="10" applyNumberFormat="1" applyFont="1" applyFill="1" applyBorder="1" applyAlignment="1" applyProtection="1">
      <alignment horizontal="center" vertical="center"/>
      <protection locked="0"/>
    </xf>
    <xf numFmtId="0" fontId="8" fillId="0" borderId="12" xfId="9" applyFont="1" applyBorder="1" applyAlignment="1" applyProtection="1">
      <alignment horizontal="center" vertical="center"/>
      <protection locked="0"/>
    </xf>
    <xf numFmtId="0" fontId="36" fillId="7" borderId="1" xfId="0" applyFont="1" applyFill="1" applyBorder="1" applyAlignment="1">
      <alignment horizontal="left" vertical="top" wrapText="1"/>
    </xf>
    <xf numFmtId="165" fontId="8" fillId="7" borderId="19" xfId="10" applyNumberFormat="1" applyFont="1" applyFill="1" applyBorder="1" applyAlignment="1" applyProtection="1">
      <alignment vertical="top"/>
    </xf>
    <xf numFmtId="0" fontId="8" fillId="2" borderId="29" xfId="11" applyFont="1" applyFill="1" applyBorder="1" applyAlignment="1" applyProtection="1">
      <alignment vertical="center" wrapText="1"/>
      <protection locked="0"/>
    </xf>
    <xf numFmtId="165" fontId="8" fillId="2" borderId="19"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xf>
    <xf numFmtId="0" fontId="8" fillId="2" borderId="29" xfId="11" applyFont="1" applyFill="1" applyBorder="1" applyAlignment="1" applyProtection="1">
      <alignment horizontal="left" vertical="center" wrapText="1"/>
      <protection locked="0"/>
    </xf>
    <xf numFmtId="165" fontId="8" fillId="2"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vertical="top" wrapText="1"/>
      <protection locked="0"/>
    </xf>
    <xf numFmtId="0" fontId="8" fillId="0" borderId="1" xfId="11" applyFont="1" applyBorder="1" applyAlignment="1" applyProtection="1">
      <alignment wrapText="1"/>
      <protection locked="0"/>
    </xf>
    <xf numFmtId="1" fontId="15" fillId="7" borderId="1" xfId="10" applyNumberFormat="1" applyFont="1" applyFill="1" applyBorder="1" applyAlignment="1" applyProtection="1">
      <alignment horizontal="left" vertical="top" wrapText="1"/>
    </xf>
    <xf numFmtId="166" fontId="0" fillId="0" borderId="0" xfId="1" applyNumberFormat="1" applyFont="1" applyAlignment="1">
      <alignment wrapText="1"/>
    </xf>
    <xf numFmtId="0" fontId="8" fillId="0" borderId="12"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5" fillId="7" borderId="1" xfId="11" applyFont="1" applyFill="1" applyBorder="1" applyAlignment="1" applyProtection="1">
      <alignment vertical="center" wrapText="1"/>
      <protection locked="0"/>
    </xf>
    <xf numFmtId="0" fontId="8" fillId="9" borderId="1" xfId="11" applyFont="1" applyFill="1" applyBorder="1" applyAlignment="1" applyProtection="1">
      <alignment vertical="center" wrapText="1"/>
      <protection locked="0"/>
    </xf>
    <xf numFmtId="0" fontId="15" fillId="7" borderId="27" xfId="11" applyFont="1" applyFill="1" applyBorder="1" applyAlignment="1" applyProtection="1">
      <alignment vertical="center" wrapText="1"/>
      <protection locked="0"/>
    </xf>
    <xf numFmtId="165" fontId="8" fillId="7" borderId="28" xfId="10" applyNumberFormat="1" applyFont="1" applyFill="1" applyBorder="1" applyAlignment="1" applyProtection="1">
      <alignment vertical="top" wrapText="1"/>
    </xf>
    <xf numFmtId="0" fontId="44" fillId="0" borderId="0" xfId="0" applyFont="1" applyAlignment="1">
      <alignment horizontal="right"/>
    </xf>
    <xf numFmtId="166" fontId="44" fillId="0" borderId="0" xfId="1" applyNumberFormat="1" applyFont="1"/>
    <xf numFmtId="38" fontId="4" fillId="0" borderId="0" xfId="0" applyNumberFormat="1" applyFont="1"/>
    <xf numFmtId="0" fontId="36" fillId="0" borderId="0" xfId="12" applyFont="1" applyAlignment="1" applyProtection="1">
      <alignment horizontal="left" vertical="center"/>
      <protection locked="0"/>
    </xf>
    <xf numFmtId="0" fontId="36" fillId="7" borderId="47" xfId="0" applyFont="1" applyFill="1" applyBorder="1" applyAlignment="1">
      <alignment horizontal="center" vertical="center" wrapText="1"/>
    </xf>
    <xf numFmtId="0" fontId="36" fillId="7" borderId="4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2"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36" fillId="7" borderId="19" xfId="0" applyFont="1" applyFill="1" applyBorder="1" applyAlignment="1">
      <alignment horizontal="left" vertical="center" wrapText="1"/>
    </xf>
    <xf numFmtId="0" fontId="4" fillId="0" borderId="0" xfId="0" applyFont="1" applyAlignment="1">
      <alignment horizontal="left" vertical="center"/>
    </xf>
    <xf numFmtId="0" fontId="4" fillId="0" borderId="12"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6" fontId="4" fillId="0" borderId="19" xfId="1" applyNumberFormat="1" applyFont="1" applyBorder="1" applyAlignment="1">
      <alignment horizontal="right" vertical="center" wrapText="1"/>
    </xf>
    <xf numFmtId="10" fontId="36" fillId="7" borderId="1" xfId="0" applyNumberFormat="1" applyFont="1" applyFill="1" applyBorder="1" applyAlignment="1">
      <alignment horizontal="left" vertical="center" wrapText="1"/>
    </xf>
    <xf numFmtId="0" fontId="13" fillId="0" borderId="12"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6" fontId="13" fillId="0" borderId="19" xfId="1" applyNumberFormat="1" applyFont="1" applyBorder="1" applyAlignment="1">
      <alignment horizontal="right" vertical="center" wrapText="1"/>
    </xf>
    <xf numFmtId="0" fontId="13" fillId="0" borderId="0" xfId="0" applyFont="1" applyAlignment="1">
      <alignment horizontal="left" vertical="center"/>
    </xf>
    <xf numFmtId="10" fontId="36" fillId="7" borderId="1" xfId="2" applyNumberFormat="1" applyFont="1" applyFill="1" applyBorder="1" applyAlignment="1">
      <alignment horizontal="left" vertical="center" wrapText="1"/>
    </xf>
    <xf numFmtId="166" fontId="36" fillId="7" borderId="19" xfId="1" applyNumberFormat="1" applyFont="1" applyFill="1" applyBorder="1" applyAlignment="1">
      <alignment horizontal="right" vertical="center" wrapText="1"/>
    </xf>
    <xf numFmtId="49" fontId="13" fillId="0" borderId="12" xfId="0" applyNumberFormat="1" applyFont="1" applyBorder="1" applyAlignment="1">
      <alignment horizontal="right" vertical="center" wrapText="1"/>
    </xf>
    <xf numFmtId="0" fontId="36" fillId="7" borderId="23" xfId="0" applyFont="1" applyFill="1" applyBorder="1" applyAlignment="1">
      <alignment horizontal="center" vertical="center" wrapText="1"/>
    </xf>
    <xf numFmtId="0" fontId="36" fillId="7" borderId="30" xfId="0" applyFont="1" applyFill="1" applyBorder="1" applyAlignment="1">
      <alignment horizontal="center" vertical="center" wrapText="1"/>
    </xf>
    <xf numFmtId="10" fontId="36" fillId="7" borderId="1" xfId="0" applyNumberFormat="1" applyFont="1" applyFill="1" applyBorder="1" applyAlignment="1">
      <alignment horizontal="center" vertical="center" wrapText="1"/>
    </xf>
    <xf numFmtId="1" fontId="36" fillId="7" borderId="19" xfId="0" applyNumberFormat="1" applyFont="1" applyFill="1" applyBorder="1" applyAlignment="1">
      <alignment horizontal="center" vertical="center" wrapText="1"/>
    </xf>
    <xf numFmtId="0" fontId="36" fillId="0" borderId="12" xfId="0" applyFont="1" applyBorder="1" applyAlignment="1">
      <alignment horizontal="left" vertical="center" wrapText="1"/>
    </xf>
    <xf numFmtId="49" fontId="45" fillId="0" borderId="26" xfId="13" applyNumberFormat="1" applyFont="1" applyBorder="1" applyAlignment="1" applyProtection="1">
      <alignment horizontal="left" vertical="center"/>
      <protection locked="0"/>
    </xf>
    <xf numFmtId="0" fontId="46" fillId="0" borderId="27" xfId="9" applyFont="1" applyBorder="1" applyAlignment="1" applyProtection="1">
      <alignment horizontal="left" vertical="center" wrapText="1"/>
      <protection locked="0"/>
    </xf>
    <xf numFmtId="10" fontId="46" fillId="0" borderId="27" xfId="2" applyNumberFormat="1" applyFont="1" applyFill="1" applyBorder="1" applyAlignment="1" applyProtection="1">
      <alignment horizontal="left" vertical="center"/>
    </xf>
    <xf numFmtId="166" fontId="8" fillId="0" borderId="28" xfId="1" applyNumberFormat="1" applyFont="1" applyFill="1" applyBorder="1" applyAlignment="1" applyProtection="1">
      <alignment horizontal="right" vertical="center"/>
    </xf>
    <xf numFmtId="0" fontId="7" fillId="0" borderId="0" xfId="0" applyFont="1"/>
    <xf numFmtId="0" fontId="14" fillId="0" borderId="0" xfId="5" applyFont="1"/>
    <xf numFmtId="0" fontId="14" fillId="0" borderId="0" xfId="5" applyFont="1" applyAlignment="1">
      <alignment horizontal="center"/>
    </xf>
    <xf numFmtId="0" fontId="37" fillId="0" borderId="0" xfId="0" applyFont="1" applyAlignment="1" applyProtection="1">
      <alignment horizontal="right"/>
      <protection locked="0"/>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43" fontId="47" fillId="0" borderId="52" xfId="1" applyFont="1" applyBorder="1" applyAlignment="1">
      <alignment horizontal="center" vertical="center"/>
    </xf>
    <xf numFmtId="169" fontId="7" fillId="0" borderId="53" xfId="0" applyNumberFormat="1" applyFont="1" applyBorder="1" applyAlignment="1">
      <alignment horizontal="center"/>
    </xf>
    <xf numFmtId="169" fontId="0" fillId="0" borderId="0" xfId="0" applyNumberFormat="1" applyAlignment="1">
      <alignment horizontal="center"/>
    </xf>
    <xf numFmtId="43" fontId="7" fillId="0" borderId="54" xfId="1" applyFont="1" applyBorder="1" applyAlignment="1">
      <alignment horizontal="center" vertical="center"/>
    </xf>
    <xf numFmtId="169" fontId="7" fillId="0" borderId="55" xfId="0" applyNumberFormat="1" applyFont="1" applyBorder="1" applyAlignment="1">
      <alignment horizontal="center"/>
    </xf>
    <xf numFmtId="169" fontId="48" fillId="0" borderId="55" xfId="0" applyNumberFormat="1" applyFont="1" applyBorder="1" applyAlignment="1">
      <alignment horizontal="center"/>
    </xf>
    <xf numFmtId="169" fontId="49" fillId="0" borderId="0" xfId="0" applyNumberFormat="1" applyFont="1" applyAlignment="1">
      <alignment horizontal="center"/>
    </xf>
    <xf numFmtId="43" fontId="12" fillId="0" borderId="54" xfId="1" applyFont="1" applyBorder="1" applyAlignment="1">
      <alignment horizontal="center" vertical="center"/>
    </xf>
    <xf numFmtId="43" fontId="47" fillId="0" borderId="54" xfId="1" applyFont="1" applyBorder="1" applyAlignment="1">
      <alignment horizontal="center" vertical="center"/>
    </xf>
    <xf numFmtId="43" fontId="48" fillId="0" borderId="54" xfId="1" applyFont="1" applyBorder="1" applyAlignment="1">
      <alignment horizontal="center" vertical="center"/>
    </xf>
    <xf numFmtId="0" fontId="25" fillId="2" borderId="32" xfId="0" applyFont="1" applyFill="1" applyBorder="1" applyAlignment="1">
      <alignment vertical="top" wrapText="1"/>
    </xf>
    <xf numFmtId="169" fontId="37" fillId="0" borderId="55" xfId="0" applyNumberFormat="1" applyFont="1" applyBorder="1" applyAlignment="1">
      <alignment horizontal="center"/>
    </xf>
    <xf numFmtId="43" fontId="7" fillId="0" borderId="56" xfId="1" applyFont="1" applyBorder="1" applyAlignment="1">
      <alignment horizontal="center" vertical="center"/>
    </xf>
    <xf numFmtId="169" fontId="7" fillId="0" borderId="57" xfId="0" applyNumberFormat="1" applyFont="1" applyBorder="1" applyAlignment="1">
      <alignment horizontal="center"/>
    </xf>
    <xf numFmtId="169" fontId="47" fillId="0" borderId="58" xfId="0" applyNumberFormat="1" applyFont="1" applyBorder="1" applyAlignment="1">
      <alignment horizontal="center"/>
    </xf>
    <xf numFmtId="169" fontId="3" fillId="0" borderId="0" xfId="0" applyNumberFormat="1" applyFont="1" applyAlignment="1">
      <alignment horizontal="center"/>
    </xf>
    <xf numFmtId="43" fontId="47" fillId="0" borderId="59" xfId="1" applyFont="1" applyBorder="1" applyAlignment="1">
      <alignment horizontal="center" vertical="center"/>
    </xf>
    <xf numFmtId="169" fontId="48" fillId="3" borderId="60" xfId="0" applyNumberFormat="1" applyFont="1" applyFill="1" applyBorder="1" applyAlignment="1">
      <alignment horizontal="center"/>
    </xf>
    <xf numFmtId="43" fontId="47" fillId="0" borderId="56" xfId="1" applyFont="1" applyBorder="1" applyAlignment="1">
      <alignment horizontal="center" vertical="center"/>
    </xf>
    <xf numFmtId="43" fontId="48" fillId="0" borderId="56" xfId="1" applyFont="1" applyBorder="1" applyAlignment="1">
      <alignment vertical="center"/>
    </xf>
    <xf numFmtId="169" fontId="7" fillId="0" borderId="61" xfId="0" applyNumberFormat="1" applyFont="1" applyBorder="1" applyAlignment="1">
      <alignment horizontal="center"/>
    </xf>
    <xf numFmtId="43" fontId="47" fillId="0" borderId="62" xfId="1" applyFont="1" applyBorder="1" applyAlignment="1">
      <alignment horizontal="center" vertical="center"/>
    </xf>
    <xf numFmtId="0" fontId="0" fillId="0" borderId="2" xfId="0" applyBorder="1" applyAlignment="1">
      <alignment horizontal="center"/>
    </xf>
    <xf numFmtId="0" fontId="24" fillId="0" borderId="2" xfId="7" applyFont="1" applyBorder="1" applyAlignment="1">
      <alignment horizontal="left" vertical="center" wrapText="1" indent="1"/>
    </xf>
    <xf numFmtId="0" fontId="24" fillId="2" borderId="1" xfId="0" applyFont="1" applyFill="1" applyBorder="1" applyAlignment="1">
      <alignment horizontal="left" vertical="center" wrapText="1" indent="1"/>
    </xf>
    <xf numFmtId="169" fontId="7" fillId="0" borderId="1" xfId="0" applyNumberFormat="1" applyFont="1" applyBorder="1" applyAlignment="1">
      <alignment horizontal="center"/>
    </xf>
    <xf numFmtId="43" fontId="47" fillId="0" borderId="1" xfId="1" applyFont="1" applyBorder="1" applyAlignment="1">
      <alignment horizontal="center"/>
    </xf>
    <xf numFmtId="0" fontId="24" fillId="0" borderId="1" xfId="0" applyFont="1" applyBorder="1" applyAlignment="1">
      <alignment horizontal="left" vertical="center" wrapText="1" indent="1"/>
    </xf>
    <xf numFmtId="43" fontId="7" fillId="0" borderId="1" xfId="1" applyFont="1" applyBorder="1" applyAlignment="1">
      <alignment horizontal="center"/>
    </xf>
    <xf numFmtId="43" fontId="7" fillId="0" borderId="1" xfId="1" applyFont="1" applyFill="1" applyBorder="1" applyAlignment="1">
      <alignment horizontal="center"/>
    </xf>
    <xf numFmtId="43" fontId="47" fillId="0" borderId="1" xfId="1" applyFont="1" applyBorder="1" applyAlignment="1">
      <alignment horizontal="center" vertical="center"/>
    </xf>
    <xf numFmtId="43" fontId="7" fillId="0" borderId="1" xfId="1" applyFont="1" applyBorder="1" applyAlignment="1">
      <alignment horizontal="center" vertical="center"/>
    </xf>
    <xf numFmtId="0" fontId="26" fillId="2" borderId="1" xfId="0" applyFont="1" applyFill="1" applyBorder="1" applyAlignment="1">
      <alignment horizontal="left" vertical="center" wrapText="1" indent="1"/>
    </xf>
    <xf numFmtId="0" fontId="26" fillId="0" borderId="1" xfId="0" applyFont="1" applyBorder="1" applyAlignment="1">
      <alignment horizontal="left" vertical="center" wrapText="1" indent="1"/>
    </xf>
    <xf numFmtId="166" fontId="50" fillId="0" borderId="0" xfId="1" applyNumberFormat="1" applyFont="1"/>
    <xf numFmtId="43" fontId="50" fillId="0" borderId="0" xfId="0" applyNumberFormat="1" applyFont="1"/>
    <xf numFmtId="0" fontId="36" fillId="0" borderId="0" xfId="0" applyFont="1" applyAlignment="1">
      <alignment horizontal="center" wrapText="1"/>
    </xf>
    <xf numFmtId="0" fontId="4" fillId="0" borderId="63" xfId="0" applyFont="1" applyBorder="1"/>
    <xf numFmtId="0" fontId="4" fillId="0" borderId="64" xfId="0" applyFont="1" applyBorder="1"/>
    <xf numFmtId="0" fontId="4" fillId="0" borderId="10" xfId="0" applyFont="1" applyBorder="1" applyAlignment="1">
      <alignment horizontal="center" vertical="center"/>
    </xf>
    <xf numFmtId="0" fontId="4" fillId="0" borderId="40" xfId="0" applyFont="1" applyBorder="1" applyAlignment="1">
      <alignment horizontal="center" vertical="center"/>
    </xf>
    <xf numFmtId="0" fontId="4" fillId="0" borderId="11" xfId="0" applyFont="1" applyBorder="1" applyAlignment="1">
      <alignment horizontal="center" vertical="center"/>
    </xf>
    <xf numFmtId="0" fontId="4" fillId="0" borderId="65" xfId="0" applyFont="1" applyBorder="1"/>
    <xf numFmtId="0" fontId="4" fillId="0" borderId="2" xfId="0" applyFont="1" applyBorder="1" applyAlignment="1">
      <alignment horizontal="center" vertical="center" wrapText="1"/>
    </xf>
    <xf numFmtId="9" fontId="4" fillId="0" borderId="20" xfId="0" applyNumberFormat="1" applyFont="1" applyBorder="1" applyAlignment="1">
      <alignment horizontal="center" vertical="center"/>
    </xf>
    <xf numFmtId="9" fontId="4" fillId="0" borderId="30" xfId="0" applyNumberFormat="1" applyFont="1" applyBorder="1" applyAlignment="1">
      <alignment horizontal="center" vertical="center"/>
    </xf>
    <xf numFmtId="0" fontId="51" fillId="2" borderId="25" xfId="11" applyFont="1" applyFill="1" applyBorder="1" applyAlignment="1" applyProtection="1">
      <alignment horizontal="center" vertical="center" wrapText="1"/>
      <protection locked="0"/>
    </xf>
    <xf numFmtId="0" fontId="4" fillId="0" borderId="29" xfId="0" applyFont="1" applyBorder="1" applyAlignment="1">
      <alignment horizontal="center" vertical="center" wrapText="1"/>
    </xf>
    <xf numFmtId="9" fontId="52" fillId="0" borderId="1" xfId="0" applyNumberFormat="1" applyFont="1" applyBorder="1" applyAlignment="1">
      <alignment horizontal="center" vertical="center"/>
    </xf>
    <xf numFmtId="0" fontId="51" fillId="2" borderId="42" xfId="11" applyFont="1" applyFill="1" applyBorder="1" applyAlignment="1" applyProtection="1">
      <alignment horizontal="center" vertical="center" wrapText="1"/>
      <protection locked="0"/>
    </xf>
    <xf numFmtId="0" fontId="4" fillId="0" borderId="12" xfId="0" applyFont="1" applyBorder="1" applyAlignment="1">
      <alignment vertical="center"/>
    </xf>
    <xf numFmtId="0" fontId="8" fillId="2" borderId="1" xfId="11" applyFont="1" applyFill="1" applyBorder="1" applyAlignment="1" applyProtection="1">
      <alignment horizontal="left" vertical="center"/>
      <protection locked="0"/>
    </xf>
    <xf numFmtId="165" fontId="4" fillId="0" borderId="1" xfId="0" applyNumberFormat="1" applyFont="1" applyBorder="1"/>
    <xf numFmtId="165" fontId="4" fillId="0" borderId="20" xfId="0" applyNumberFormat="1" applyFont="1" applyBorder="1"/>
    <xf numFmtId="169" fontId="4" fillId="0" borderId="19" xfId="0" applyNumberFormat="1" applyFont="1" applyBorder="1"/>
    <xf numFmtId="0" fontId="8" fillId="0" borderId="1" xfId="11" applyFont="1" applyBorder="1" applyAlignment="1" applyProtection="1">
      <alignment horizontal="left" vertical="center"/>
      <protection locked="0"/>
    </xf>
    <xf numFmtId="0" fontId="8" fillId="2" borderId="26" xfId="9" applyFont="1" applyFill="1" applyBorder="1" applyAlignment="1" applyProtection="1">
      <alignment horizontal="left" vertical="center"/>
      <protection locked="0"/>
    </xf>
    <xf numFmtId="0" fontId="15" fillId="2" borderId="27" xfId="14" applyFont="1" applyFill="1" applyBorder="1" applyAlignment="1" applyProtection="1">
      <alignment vertical="top" wrapText="1"/>
      <protection locked="0"/>
    </xf>
    <xf numFmtId="165" fontId="4" fillId="7" borderId="27" xfId="0" applyNumberFormat="1" applyFont="1" applyFill="1" applyBorder="1"/>
    <xf numFmtId="166" fontId="4" fillId="7" borderId="28" xfId="1" applyNumberFormat="1" applyFont="1" applyFill="1" applyBorder="1"/>
    <xf numFmtId="0" fontId="4" fillId="0" borderId="9" xfId="0" applyFont="1" applyBorder="1"/>
    <xf numFmtId="0" fontId="4" fillId="0" borderId="11" xfId="0" applyFont="1" applyBorder="1"/>
    <xf numFmtId="166" fontId="15" fillId="2" borderId="9" xfId="15" applyNumberFormat="1" applyFont="1" applyFill="1" applyBorder="1" applyAlignment="1" applyProtection="1">
      <alignment horizontal="center"/>
      <protection locked="0"/>
    </xf>
    <xf numFmtId="166" fontId="15" fillId="2" borderId="10" xfId="15" applyNumberFormat="1" applyFont="1" applyFill="1" applyBorder="1" applyAlignment="1" applyProtection="1">
      <alignment horizontal="center"/>
      <protection locked="0"/>
    </xf>
    <xf numFmtId="166" fontId="15" fillId="2" borderId="11" xfId="15" applyNumberFormat="1" applyFont="1" applyFill="1" applyBorder="1" applyAlignment="1" applyProtection="1">
      <alignment horizontal="center"/>
      <protection locked="0"/>
    </xf>
    <xf numFmtId="166" fontId="15" fillId="0" borderId="66" xfId="15" applyNumberFormat="1" applyFont="1" applyFill="1" applyBorder="1" applyAlignment="1" applyProtection="1">
      <alignment horizontal="center" vertical="center" wrapText="1"/>
      <protection locked="0"/>
    </xf>
    <xf numFmtId="0" fontId="36" fillId="0" borderId="67" xfId="0" applyFont="1" applyBorder="1" applyAlignment="1">
      <alignment horizontal="center" vertical="center" wrapText="1"/>
    </xf>
    <xf numFmtId="0" fontId="4" fillId="0" borderId="19" xfId="0" applyFont="1" applyBorder="1" applyAlignment="1">
      <alignment horizontal="center" vertical="center"/>
    </xf>
    <xf numFmtId="166" fontId="8" fillId="2" borderId="12" xfId="15" applyNumberFormat="1" applyFont="1" applyFill="1" applyBorder="1" applyAlignment="1" applyProtection="1">
      <alignment horizontal="center" vertical="center" wrapText="1"/>
      <protection locked="0"/>
    </xf>
    <xf numFmtId="166"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6" fontId="8" fillId="2" borderId="19" xfId="15" applyNumberFormat="1" applyFont="1" applyFill="1" applyBorder="1" applyAlignment="1" applyProtection="1">
      <alignment horizontal="center" vertical="center" wrapText="1"/>
      <protection locked="0"/>
    </xf>
    <xf numFmtId="166" fontId="15" fillId="0" borderId="68" xfId="15" applyNumberFormat="1" applyFont="1" applyFill="1" applyBorder="1" applyAlignment="1" applyProtection="1">
      <alignment horizontal="center" vertical="center" wrapText="1"/>
      <protection locked="0"/>
    </xf>
    <xf numFmtId="0" fontId="36" fillId="0" borderId="69" xfId="0" applyFont="1" applyBorder="1" applyAlignment="1">
      <alignment horizontal="center" vertical="center" wrapText="1"/>
    </xf>
    <xf numFmtId="0" fontId="8" fillId="2" borderId="12" xfId="13" applyFont="1" applyFill="1" applyBorder="1" applyAlignment="1" applyProtection="1">
      <alignment horizontal="right" vertical="center"/>
      <protection locked="0"/>
    </xf>
    <xf numFmtId="0" fontId="8" fillId="2" borderId="19" xfId="11" applyFont="1" applyFill="1" applyBorder="1" applyAlignment="1" applyProtection="1">
      <alignment horizontal="left" vertical="center"/>
      <protection locked="0"/>
    </xf>
    <xf numFmtId="165" fontId="4" fillId="0" borderId="12" xfId="0" applyNumberFormat="1" applyFont="1" applyBorder="1"/>
    <xf numFmtId="165" fontId="4" fillId="0" borderId="19" xfId="0" applyNumberFormat="1" applyFont="1" applyBorder="1"/>
    <xf numFmtId="165" fontId="4" fillId="0" borderId="22" xfId="0" applyNumberFormat="1" applyFont="1" applyBorder="1" applyAlignment="1">
      <alignment wrapText="1"/>
    </xf>
    <xf numFmtId="165" fontId="4" fillId="0" borderId="22" xfId="0" applyNumberFormat="1" applyFont="1" applyBorder="1"/>
    <xf numFmtId="165" fontId="4" fillId="7" borderId="69" xfId="0" applyNumberFormat="1" applyFont="1" applyFill="1" applyBorder="1"/>
    <xf numFmtId="0" fontId="15" fillId="2" borderId="28" xfId="14" applyFont="1" applyFill="1" applyBorder="1" applyProtection="1">
      <protection locked="0"/>
    </xf>
    <xf numFmtId="165" fontId="4" fillId="7" borderId="26" xfId="0" applyNumberFormat="1" applyFont="1" applyFill="1" applyBorder="1"/>
    <xf numFmtId="165" fontId="4" fillId="7" borderId="28" xfId="0" applyNumberFormat="1" applyFont="1" applyFill="1" applyBorder="1"/>
    <xf numFmtId="165" fontId="4" fillId="7" borderId="70"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10" xfId="0" applyFont="1" applyBorder="1"/>
    <xf numFmtId="0" fontId="4" fillId="0" borderId="10" xfId="0" applyFont="1" applyBorder="1" applyAlignment="1">
      <alignment wrapText="1"/>
    </xf>
    <xf numFmtId="0" fontId="4" fillId="0" borderId="40" xfId="0" applyFont="1" applyBorder="1" applyAlignment="1">
      <alignment wrapText="1"/>
    </xf>
    <xf numFmtId="0" fontId="4" fillId="0" borderId="11" xfId="0" applyFont="1" applyBorder="1" applyAlignment="1">
      <alignment wrapText="1"/>
    </xf>
    <xf numFmtId="0" fontId="35" fillId="0" borderId="0" xfId="0" applyFont="1" applyAlignment="1">
      <alignment wrapText="1"/>
    </xf>
    <xf numFmtId="0" fontId="4" fillId="0" borderId="29" xfId="0" applyFont="1" applyBorder="1"/>
    <xf numFmtId="0" fontId="4" fillId="0" borderId="20" xfId="0" applyFont="1" applyBorder="1" applyAlignment="1">
      <alignment horizontal="center" wrapText="1"/>
    </xf>
    <xf numFmtId="0" fontId="4" fillId="0" borderId="30" xfId="0" applyFont="1" applyBorder="1" applyAlignment="1">
      <alignment horizont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xf numFmtId="9" fontId="4" fillId="0" borderId="19" xfId="2" applyFont="1" applyBorder="1"/>
    <xf numFmtId="0" fontId="4" fillId="0" borderId="26" xfId="0" applyFont="1" applyBorder="1"/>
    <xf numFmtId="0" fontId="36" fillId="0" borderId="27" xfId="0" applyFont="1" applyBorder="1" applyAlignment="1">
      <alignment vertical="top" wrapText="1"/>
    </xf>
    <xf numFmtId="9" fontId="4" fillId="7" borderId="28" xfId="2" applyFont="1" applyFill="1" applyBorder="1"/>
    <xf numFmtId="0" fontId="4" fillId="0" borderId="0" xfId="0" applyFont="1" applyAlignment="1">
      <alignment horizontal="left"/>
    </xf>
    <xf numFmtId="0" fontId="53" fillId="0" borderId="63" xfId="0" applyFont="1" applyBorder="1" applyAlignment="1">
      <alignment horizontal="left" vertical="center"/>
    </xf>
    <xf numFmtId="0" fontId="53" fillId="0" borderId="64" xfId="0" applyFont="1" applyBorder="1" applyAlignment="1">
      <alignment horizontal="left" vertical="center"/>
    </xf>
    <xf numFmtId="0" fontId="4" fillId="0" borderId="64" xfId="0" applyFont="1" applyBorder="1" applyAlignment="1">
      <alignment horizontal="center" vertical="center" wrapText="1"/>
    </xf>
    <xf numFmtId="0" fontId="4" fillId="0" borderId="71" xfId="0" applyFont="1" applyBorder="1" applyAlignment="1">
      <alignment horizontal="center" vertical="center" wrapText="1"/>
    </xf>
    <xf numFmtId="0" fontId="53" fillId="2" borderId="14" xfId="0" applyFont="1" applyFill="1" applyBorder="1" applyAlignment="1">
      <alignment horizontal="left"/>
    </xf>
    <xf numFmtId="0" fontId="53" fillId="2" borderId="4" xfId="0" applyFont="1" applyFill="1" applyBorder="1" applyAlignment="1">
      <alignment horizontal="left"/>
    </xf>
    <xf numFmtId="0" fontId="4" fillId="0" borderId="19" xfId="0" applyFont="1" applyBorder="1" applyAlignment="1">
      <alignment horizontal="center" vertical="center" wrapText="1"/>
    </xf>
    <xf numFmtId="0" fontId="36" fillId="2" borderId="23"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vertical="center"/>
    </xf>
    <xf numFmtId="164" fontId="18" fillId="4" borderId="0" xfId="6"/>
    <xf numFmtId="166" fontId="4" fillId="0" borderId="15" xfId="1" applyNumberFormat="1" applyFont="1" applyBorder="1" applyAlignment="1">
      <alignment vertical="center"/>
    </xf>
    <xf numFmtId="166" fontId="4" fillId="0" borderId="42" xfId="1" applyNumberFormat="1" applyFont="1" applyBorder="1" applyAlignment="1">
      <alignment vertical="center"/>
    </xf>
    <xf numFmtId="166" fontId="4" fillId="2" borderId="21" xfId="1" applyNumberFormat="1" applyFont="1" applyFill="1" applyBorder="1" applyAlignment="1">
      <alignment vertical="center"/>
    </xf>
    <xf numFmtId="166" fontId="4" fillId="2" borderId="22" xfId="1" applyNumberFormat="1" applyFont="1" applyFill="1" applyBorder="1" applyAlignment="1">
      <alignment vertical="center"/>
    </xf>
    <xf numFmtId="0" fontId="4" fillId="0" borderId="1" xfId="0" applyFont="1" applyBorder="1" applyAlignment="1">
      <alignment vertical="center"/>
    </xf>
    <xf numFmtId="166" fontId="4" fillId="0" borderId="20" xfId="1" applyNumberFormat="1" applyFont="1" applyBorder="1" applyAlignment="1">
      <alignment vertical="center"/>
    </xf>
    <xf numFmtId="166" fontId="4" fillId="0" borderId="19" xfId="1" applyNumberFormat="1" applyFont="1" applyBorder="1" applyAlignment="1">
      <alignment vertical="center"/>
    </xf>
    <xf numFmtId="0" fontId="36" fillId="0" borderId="1" xfId="0" applyFont="1" applyBorder="1" applyAlignment="1">
      <alignment vertical="center"/>
    </xf>
    <xf numFmtId="166" fontId="4" fillId="2" borderId="21" xfId="0" applyNumberFormat="1" applyFont="1" applyFill="1" applyBorder="1" applyAlignment="1">
      <alignment vertical="center"/>
    </xf>
    <xf numFmtId="166" fontId="4" fillId="0" borderId="1" xfId="0" applyNumberFormat="1" applyFont="1" applyBorder="1" applyAlignment="1">
      <alignment vertical="center"/>
    </xf>
    <xf numFmtId="166" fontId="4" fillId="0" borderId="20" xfId="0" applyNumberFormat="1" applyFont="1" applyBorder="1" applyAlignment="1">
      <alignment vertical="center"/>
    </xf>
    <xf numFmtId="0" fontId="4" fillId="0" borderId="26" xfId="0" applyFont="1" applyBorder="1" applyAlignment="1">
      <alignment horizontal="center" vertical="center"/>
    </xf>
    <xf numFmtId="0" fontId="36" fillId="0" borderId="27" xfId="0" applyFont="1" applyBorder="1" applyAlignment="1">
      <alignment vertical="center"/>
    </xf>
    <xf numFmtId="166" fontId="4" fillId="0" borderId="27" xfId="1" applyNumberFormat="1" applyFont="1" applyBorder="1" applyAlignment="1">
      <alignment vertical="center"/>
    </xf>
    <xf numFmtId="166" fontId="4" fillId="0" borderId="41" xfId="1" applyNumberFormat="1" applyFont="1" applyBorder="1" applyAlignment="1">
      <alignment vertical="center"/>
    </xf>
    <xf numFmtId="166" fontId="4" fillId="0" borderId="28" xfId="1" applyNumberFormat="1" applyFont="1" applyBorder="1" applyAlignment="1">
      <alignment vertical="center"/>
    </xf>
    <xf numFmtId="0" fontId="4" fillId="2" borderId="65"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center"/>
    </xf>
    <xf numFmtId="0" fontId="4" fillId="0" borderId="50" xfId="0" applyFont="1" applyBorder="1" applyAlignment="1">
      <alignment horizontal="center" vertical="center" wrapText="1"/>
    </xf>
    <xf numFmtId="0" fontId="4" fillId="0" borderId="9" xfId="0" applyFont="1" applyBorder="1" applyAlignment="1">
      <alignment horizontal="center" vertical="center"/>
    </xf>
    <xf numFmtId="0" fontId="4" fillId="0" borderId="40" xfId="0" applyFont="1" applyBorder="1" applyAlignment="1">
      <alignment vertical="center"/>
    </xf>
    <xf numFmtId="164" fontId="18" fillId="4" borderId="63" xfId="6" applyBorder="1"/>
    <xf numFmtId="164" fontId="18" fillId="4" borderId="64" xfId="6" applyBorder="1"/>
    <xf numFmtId="166" fontId="4" fillId="0" borderId="40" xfId="1" applyNumberFormat="1" applyFont="1" applyBorder="1" applyAlignment="1">
      <alignment vertical="center"/>
    </xf>
    <xf numFmtId="43" fontId="4" fillId="0" borderId="40" xfId="1" applyFont="1" applyBorder="1" applyAlignment="1">
      <alignment vertical="center"/>
    </xf>
    <xf numFmtId="43" fontId="4" fillId="0" borderId="11" xfId="1" applyFont="1" applyBorder="1" applyAlignment="1">
      <alignment vertical="center"/>
    </xf>
    <xf numFmtId="0" fontId="4" fillId="0" borderId="24" xfId="0" applyFont="1" applyBorder="1" applyAlignment="1">
      <alignment horizontal="center" vertical="center"/>
    </xf>
    <xf numFmtId="0" fontId="4" fillId="0" borderId="3" xfId="0" applyFont="1" applyBorder="1" applyAlignment="1">
      <alignment vertical="center"/>
    </xf>
    <xf numFmtId="164" fontId="18" fillId="4" borderId="72" xfId="6" applyBorder="1"/>
    <xf numFmtId="164" fontId="18" fillId="4" borderId="45" xfId="6" applyBorder="1"/>
    <xf numFmtId="164" fontId="18" fillId="4" borderId="43" xfId="6" applyBorder="1"/>
    <xf numFmtId="166" fontId="4" fillId="0" borderId="3" xfId="1" applyNumberFormat="1" applyFont="1" applyBorder="1" applyAlignment="1">
      <alignment vertical="center"/>
    </xf>
    <xf numFmtId="43" fontId="4" fillId="0" borderId="3" xfId="1" applyFont="1" applyBorder="1" applyAlignment="1">
      <alignment vertical="center"/>
    </xf>
    <xf numFmtId="43" fontId="4" fillId="0" borderId="25" xfId="1"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vertical="center"/>
    </xf>
    <xf numFmtId="164" fontId="18" fillId="4" borderId="6" xfId="6" applyBorder="1"/>
    <xf numFmtId="164" fontId="18" fillId="4" borderId="7" xfId="6" applyBorder="1"/>
    <xf numFmtId="9" fontId="4" fillId="0" borderId="74" xfId="2" applyFont="1" applyBorder="1" applyAlignment="1">
      <alignment vertical="center"/>
    </xf>
    <xf numFmtId="9" fontId="4" fillId="0" borderId="75" xfId="2" applyFont="1" applyBorder="1" applyAlignment="1">
      <alignment vertical="center"/>
    </xf>
    <xf numFmtId="43" fontId="4" fillId="0" borderId="0" xfId="0" applyNumberFormat="1" applyFont="1"/>
    <xf numFmtId="0" fontId="47" fillId="0" borderId="0" xfId="0" applyFont="1"/>
    <xf numFmtId="0" fontId="4" fillId="0" borderId="63" xfId="0" applyFont="1" applyBorder="1" applyAlignment="1">
      <alignment horizontal="center"/>
    </xf>
    <xf numFmtId="0" fontId="4" fillId="0" borderId="64"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5" fillId="0" borderId="0" xfId="0" applyFont="1" applyAlignment="1">
      <alignment horizontal="center"/>
    </xf>
    <xf numFmtId="0" fontId="9" fillId="2" borderId="12"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19" xfId="11" applyFont="1" applyFill="1" applyBorder="1" applyAlignment="1" applyProtection="1">
      <alignment horizontal="center" vertical="center" wrapText="1"/>
      <protection locked="0"/>
    </xf>
    <xf numFmtId="0" fontId="9" fillId="2" borderId="12"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7" borderId="1" xfId="13" applyNumberFormat="1" applyFont="1" applyFill="1" applyBorder="1" applyProtection="1">
      <protection locked="0"/>
    </xf>
    <xf numFmtId="165" fontId="9" fillId="7" borderId="1" xfId="15" applyNumberFormat="1" applyFont="1" applyFill="1" applyBorder="1" applyProtection="1">
      <protection locked="0"/>
    </xf>
    <xf numFmtId="3" fontId="9" fillId="7" borderId="19"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7"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7" fontId="9" fillId="11"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26" xfId="9" applyFont="1" applyFill="1" applyBorder="1" applyAlignment="1" applyProtection="1">
      <alignment horizontal="right" vertical="center"/>
      <protection locked="0"/>
    </xf>
    <xf numFmtId="0" fontId="14" fillId="2" borderId="27" xfId="14" applyFont="1" applyFill="1" applyBorder="1" applyProtection="1">
      <protection locked="0"/>
    </xf>
    <xf numFmtId="165" fontId="14" fillId="7" borderId="27" xfId="14" applyNumberFormat="1" applyFont="1" applyFill="1" applyBorder="1" applyProtection="1">
      <protection locked="0"/>
    </xf>
    <xf numFmtId="3" fontId="14" fillId="7" borderId="27" xfId="14" applyNumberFormat="1" applyFont="1" applyFill="1" applyBorder="1" applyProtection="1">
      <protection locked="0"/>
    </xf>
    <xf numFmtId="165" fontId="14" fillId="7" borderId="27" xfId="15" applyNumberFormat="1" applyFont="1" applyFill="1" applyBorder="1" applyAlignment="1" applyProtection="1">
      <protection locked="0"/>
    </xf>
    <xf numFmtId="165" fontId="9" fillId="2" borderId="27" xfId="13" applyNumberFormat="1" applyFont="1" applyFill="1" applyBorder="1" applyProtection="1">
      <protection locked="0"/>
    </xf>
    <xf numFmtId="166" fontId="14" fillId="7" borderId="28" xfId="15" applyNumberFormat="1" applyFont="1" applyFill="1" applyBorder="1" applyAlignment="1" applyProtection="1">
      <protection locked="0"/>
    </xf>
    <xf numFmtId="0" fontId="7" fillId="0" borderId="0" xfId="0" applyFont="1" applyAlignment="1">
      <alignment vertical="top" wrapText="1"/>
    </xf>
    <xf numFmtId="165" fontId="7" fillId="0" borderId="0" xfId="0" applyNumberFormat="1" applyFont="1"/>
    <xf numFmtId="0" fontId="54" fillId="12" borderId="20" xfId="17" applyFont="1" applyFill="1" applyBorder="1" applyAlignment="1" applyProtection="1">
      <alignment vertical="center" wrapText="1"/>
      <protection locked="0"/>
    </xf>
    <xf numFmtId="0" fontId="55" fillId="12" borderId="30" xfId="17" applyFont="1" applyFill="1" applyBorder="1" applyProtection="1">
      <alignment vertical="center"/>
      <protection locked="0"/>
    </xf>
    <xf numFmtId="0" fontId="56" fillId="13" borderId="2" xfId="17" applyFont="1" applyFill="1" applyBorder="1" applyAlignment="1" applyProtection="1">
      <alignment horizontal="center" vertical="center"/>
      <protection locked="0"/>
    </xf>
    <xf numFmtId="0" fontId="56" fillId="0" borderId="30" xfId="17" applyFont="1" applyBorder="1" applyAlignment="1" applyProtection="1">
      <alignment horizontal="left" vertical="center" wrapText="1"/>
      <protection locked="0"/>
    </xf>
    <xf numFmtId="0" fontId="54" fillId="10" borderId="1" xfId="17" applyFont="1" applyFill="1" applyBorder="1" applyAlignment="1" applyProtection="1">
      <alignment horizontal="center" vertical="center"/>
      <protection locked="0"/>
    </xf>
    <xf numFmtId="0" fontId="54" fillId="10" borderId="30" xfId="17" applyFont="1" applyFill="1" applyBorder="1" applyAlignment="1" applyProtection="1">
      <alignment vertical="top" wrapText="1"/>
      <protection locked="0"/>
    </xf>
    <xf numFmtId="166" fontId="56" fillId="10" borderId="1" xfId="18" applyNumberFormat="1" applyFont="1" applyFill="1" applyBorder="1" applyAlignment="1" applyProtection="1">
      <alignment horizontal="right" vertical="center"/>
    </xf>
    <xf numFmtId="0" fontId="54" fillId="12" borderId="20" xfId="17" applyFont="1" applyFill="1" applyBorder="1" applyProtection="1">
      <alignment vertical="center"/>
      <protection locked="0"/>
    </xf>
    <xf numFmtId="166" fontId="55" fillId="12" borderId="30" xfId="18" applyNumberFormat="1" applyFont="1" applyFill="1" applyBorder="1" applyAlignment="1" applyProtection="1">
      <alignment horizontal="right" vertical="center"/>
      <protection locked="0"/>
    </xf>
    <xf numFmtId="0" fontId="57" fillId="13" borderId="2" xfId="17" applyFont="1" applyFill="1" applyBorder="1" applyAlignment="1" applyProtection="1">
      <alignment horizontal="center" vertical="center"/>
      <protection locked="0"/>
    </xf>
    <xf numFmtId="0" fontId="56" fillId="13" borderId="30" xfId="17" applyFont="1" applyFill="1" applyBorder="1" applyAlignment="1" applyProtection="1">
      <alignment vertical="center" wrapText="1"/>
      <protection locked="0"/>
    </xf>
    <xf numFmtId="166" fontId="56" fillId="0" borderId="1" xfId="18" applyNumberFormat="1" applyFont="1" applyFill="1" applyBorder="1" applyAlignment="1" applyProtection="1">
      <alignment horizontal="right" vertical="center"/>
      <protection locked="0"/>
    </xf>
    <xf numFmtId="0" fontId="56" fillId="13" borderId="30" xfId="17" applyFont="1" applyFill="1" applyBorder="1" applyAlignment="1" applyProtection="1">
      <alignment horizontal="left" vertical="center" wrapText="1"/>
      <protection locked="0"/>
    </xf>
    <xf numFmtId="0" fontId="57" fillId="2" borderId="2" xfId="17" applyFont="1" applyFill="1" applyBorder="1" applyAlignment="1" applyProtection="1">
      <alignment horizontal="center" vertical="center"/>
      <protection locked="0"/>
    </xf>
    <xf numFmtId="0" fontId="56" fillId="0" borderId="30" xfId="17" applyFont="1" applyBorder="1" applyAlignment="1" applyProtection="1">
      <alignment vertical="center" wrapText="1"/>
      <protection locked="0"/>
    </xf>
    <xf numFmtId="0" fontId="56" fillId="2" borderId="30" xfId="17" applyFont="1" applyFill="1" applyBorder="1" applyAlignment="1" applyProtection="1">
      <alignment horizontal="left" vertical="center" wrapText="1"/>
      <protection locked="0"/>
    </xf>
    <xf numFmtId="0" fontId="57" fillId="0" borderId="2" xfId="17" applyFont="1" applyBorder="1" applyAlignment="1" applyProtection="1">
      <alignment horizontal="center" vertical="center"/>
      <protection locked="0"/>
    </xf>
    <xf numFmtId="0" fontId="58" fillId="10" borderId="1" xfId="17" applyFont="1" applyFill="1" applyBorder="1" applyAlignment="1" applyProtection="1">
      <alignment horizontal="center" vertical="center"/>
      <protection locked="0"/>
    </xf>
    <xf numFmtId="0" fontId="54" fillId="10" borderId="30" xfId="17" applyFont="1" applyFill="1" applyBorder="1" applyAlignment="1" applyProtection="1">
      <alignment vertical="center" wrapText="1"/>
      <protection locked="0"/>
    </xf>
    <xf numFmtId="166" fontId="54" fillId="12" borderId="30" xfId="18" applyNumberFormat="1" applyFont="1" applyFill="1" applyBorder="1" applyAlignment="1" applyProtection="1">
      <alignment horizontal="right" vertical="center"/>
      <protection locked="0"/>
    </xf>
    <xf numFmtId="0" fontId="56" fillId="13" borderId="30" xfId="17" applyFont="1" applyFill="1" applyBorder="1" applyAlignment="1" applyProtection="1">
      <alignment vertical="top" wrapText="1"/>
      <protection locked="0"/>
    </xf>
    <xf numFmtId="0" fontId="54" fillId="12" borderId="20" xfId="17" applyFont="1" applyFill="1" applyBorder="1" applyAlignment="1" applyProtection="1">
      <alignment horizontal="center" vertical="center"/>
      <protection locked="0"/>
    </xf>
    <xf numFmtId="166" fontId="56" fillId="2" borderId="1" xfId="18" applyNumberFormat="1" applyFont="1" applyFill="1" applyBorder="1" applyAlignment="1" applyProtection="1">
      <alignment horizontal="right" vertical="center"/>
      <protection locked="0"/>
    </xf>
    <xf numFmtId="0" fontId="55" fillId="12" borderId="20" xfId="17" applyFont="1" applyFill="1" applyBorder="1" applyProtection="1">
      <alignment vertical="center"/>
      <protection locked="0"/>
    </xf>
    <xf numFmtId="43" fontId="56" fillId="10" borderId="1" xfId="1" applyFont="1" applyFill="1" applyBorder="1" applyAlignment="1" applyProtection="1">
      <alignment horizontal="right" vertical="center"/>
    </xf>
    <xf numFmtId="0" fontId="57" fillId="13" borderId="1" xfId="17" applyFont="1" applyFill="1" applyBorder="1" applyAlignment="1" applyProtection="1">
      <alignment horizontal="center" vertical="center"/>
      <protection locked="0"/>
    </xf>
    <xf numFmtId="0" fontId="61" fillId="13" borderId="1" xfId="17" applyFont="1" applyFill="1" applyBorder="1" applyAlignment="1" applyProtection="1">
      <alignment horizontal="center" vertical="center"/>
      <protection locked="0"/>
    </xf>
    <xf numFmtId="0" fontId="52" fillId="0" borderId="0" xfId="0" applyFont="1" applyAlignment="1">
      <alignment wrapText="1"/>
    </xf>
    <xf numFmtId="14" fontId="4" fillId="0" borderId="0" xfId="0" applyNumberFormat="1" applyFont="1"/>
    <xf numFmtId="0" fontId="4" fillId="2" borderId="63" xfId="0" applyFont="1" applyFill="1" applyBorder="1"/>
    <xf numFmtId="0" fontId="4" fillId="2" borderId="76" xfId="0" applyFont="1" applyFill="1" applyBorder="1" applyAlignment="1">
      <alignment wrapText="1"/>
    </xf>
    <xf numFmtId="0" fontId="4" fillId="0" borderId="10" xfId="0" applyFont="1" applyBorder="1" applyAlignment="1">
      <alignment horizontal="center"/>
    </xf>
    <xf numFmtId="0" fontId="4" fillId="0" borderId="11" xfId="0" applyFont="1" applyBorder="1" applyAlignment="1">
      <alignment horizontal="center" vertical="center" wrapText="1"/>
    </xf>
    <xf numFmtId="0" fontId="4" fillId="2" borderId="18" xfId="0" applyFont="1" applyFill="1" applyBorder="1"/>
    <xf numFmtId="0" fontId="36" fillId="2" borderId="35" xfId="0" applyFont="1" applyFill="1" applyBorder="1" applyAlignment="1">
      <alignment horizontal="center" wrapText="1"/>
    </xf>
    <xf numFmtId="0" fontId="4" fillId="0" borderId="1" xfId="0" applyFont="1" applyBorder="1" applyAlignment="1">
      <alignment horizontal="center"/>
    </xf>
    <xf numFmtId="0" fontId="4" fillId="0" borderId="19" xfId="0" applyFont="1" applyBorder="1" applyAlignment="1">
      <alignment horizontal="center" vertical="center" wrapText="1"/>
    </xf>
    <xf numFmtId="0" fontId="4" fillId="2" borderId="65" xfId="0" applyFont="1" applyFill="1" applyBorder="1"/>
    <xf numFmtId="0" fontId="36" fillId="2" borderId="0" xfId="0" applyFont="1" applyFill="1" applyAlignment="1">
      <alignment horizontal="center" wrapText="1"/>
    </xf>
    <xf numFmtId="0" fontId="4" fillId="2" borderId="0" xfId="0" applyFont="1" applyFill="1" applyAlignment="1">
      <alignment horizontal="center"/>
    </xf>
    <xf numFmtId="0" fontId="4" fillId="2" borderId="77" xfId="0" applyFont="1" applyFill="1" applyBorder="1" applyAlignment="1">
      <alignment horizontal="center" vertical="center" wrapText="1"/>
    </xf>
    <xf numFmtId="0" fontId="4" fillId="0" borderId="1" xfId="0" applyFont="1" applyBorder="1" applyAlignment="1">
      <alignment wrapText="1"/>
    </xf>
    <xf numFmtId="166" fontId="4" fillId="0" borderId="19" xfId="1" applyNumberFormat="1" applyFont="1" applyBorder="1"/>
    <xf numFmtId="0" fontId="53" fillId="0" borderId="1" xfId="0" applyFont="1" applyBorder="1" applyAlignment="1">
      <alignment horizontal="left" wrapText="1" indent="2"/>
    </xf>
    <xf numFmtId="164" fontId="18" fillId="4" borderId="1" xfId="6" applyBorder="1"/>
    <xf numFmtId="43" fontId="0" fillId="0" borderId="0" xfId="1" applyFont="1"/>
    <xf numFmtId="0" fontId="53" fillId="0" borderId="1" xfId="0" applyFont="1" applyBorder="1" applyAlignment="1">
      <alignment horizontal="left" vertical="top" wrapText="1" indent="2"/>
    </xf>
    <xf numFmtId="166" fontId="4" fillId="0" borderId="1" xfId="1" applyNumberFormat="1" applyFont="1" applyBorder="1" applyAlignment="1"/>
    <xf numFmtId="166" fontId="4" fillId="0" borderId="1" xfId="1" applyNumberFormat="1" applyFont="1" applyBorder="1" applyAlignment="1">
      <alignment vertical="top"/>
    </xf>
    <xf numFmtId="0" fontId="36" fillId="0" borderId="12" xfId="0" applyFont="1" applyBorder="1"/>
    <xf numFmtId="0" fontId="36" fillId="0" borderId="1" xfId="0" applyFont="1" applyBorder="1" applyAlignment="1">
      <alignment wrapText="1"/>
    </xf>
    <xf numFmtId="166" fontId="36" fillId="0" borderId="19" xfId="1" applyNumberFormat="1" applyFont="1" applyBorder="1"/>
    <xf numFmtId="0" fontId="3" fillId="2" borderId="65" xfId="0" applyFont="1" applyFill="1" applyBorder="1" applyAlignment="1">
      <alignment horizontal="left"/>
    </xf>
    <xf numFmtId="0" fontId="36" fillId="2" borderId="0" xfId="0" applyFont="1" applyFill="1" applyAlignment="1">
      <alignment vertical="top" wrapText="1"/>
    </xf>
    <xf numFmtId="166" fontId="4" fillId="2" borderId="0" xfId="1" applyNumberFormat="1" applyFont="1" applyFill="1" applyBorder="1"/>
    <xf numFmtId="166" fontId="4" fillId="2" borderId="0" xfId="1" applyNumberFormat="1" applyFont="1" applyFill="1" applyBorder="1" applyAlignment="1">
      <alignment vertical="center"/>
    </xf>
    <xf numFmtId="166" fontId="4" fillId="2" borderId="77" xfId="1" applyNumberFormat="1" applyFont="1" applyFill="1" applyBorder="1"/>
    <xf numFmtId="166" fontId="4" fillId="0" borderId="19" xfId="1" applyNumberFormat="1" applyFont="1" applyFill="1" applyBorder="1"/>
    <xf numFmtId="0" fontId="53"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7" xfId="0" applyFont="1" applyFill="1" applyBorder="1"/>
    <xf numFmtId="0" fontId="36" fillId="0" borderId="26" xfId="0" applyFont="1" applyBorder="1"/>
    <xf numFmtId="0" fontId="36" fillId="0" borderId="27" xfId="0" applyFont="1" applyBorder="1" applyAlignment="1">
      <alignment wrapText="1"/>
    </xf>
    <xf numFmtId="164" fontId="18" fillId="4" borderId="41" xfId="6" applyBorder="1"/>
    <xf numFmtId="10" fontId="36" fillId="0" borderId="28" xfId="2" applyNumberFormat="1" applyFont="1" applyBorder="1"/>
    <xf numFmtId="166" fontId="4" fillId="0" borderId="0" xfId="0" applyNumberFormat="1" applyFont="1"/>
    <xf numFmtId="0" fontId="62" fillId="0" borderId="0" xfId="5" applyFont="1"/>
    <xf numFmtId="0" fontId="63" fillId="0" borderId="0" xfId="0" applyFont="1"/>
    <xf numFmtId="14" fontId="63" fillId="0" borderId="0" xfId="0" applyNumberFormat="1" applyFont="1" applyAlignment="1">
      <alignment horizontal="left"/>
    </xf>
    <xf numFmtId="0" fontId="64" fillId="0" borderId="0" xfId="5" applyFont="1"/>
    <xf numFmtId="0" fontId="65" fillId="0" borderId="78" xfId="0" applyFont="1" applyBorder="1" applyAlignment="1">
      <alignment horizontal="left" vertical="center" wrapText="1"/>
    </xf>
    <xf numFmtId="0" fontId="65" fillId="0" borderId="79" xfId="0" applyFont="1" applyBorder="1" applyAlignment="1">
      <alignment horizontal="left" vertical="center" wrapText="1"/>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80" xfId="0" applyFont="1" applyBorder="1" applyAlignment="1">
      <alignment horizontal="center" vertical="center" wrapText="1"/>
    </xf>
    <xf numFmtId="0" fontId="65" fillId="0" borderId="81" xfId="0" applyFont="1" applyBorder="1" applyAlignment="1">
      <alignment horizontal="left" vertical="center" wrapText="1"/>
    </xf>
    <xf numFmtId="0" fontId="65" fillId="0" borderId="82" xfId="0" applyFont="1" applyBorder="1" applyAlignment="1">
      <alignment horizontal="left" vertical="center" wrapText="1"/>
    </xf>
    <xf numFmtId="0" fontId="66" fillId="0" borderId="15"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35" xfId="0" applyFont="1" applyBorder="1" applyAlignment="1">
      <alignment horizontal="center" vertical="center" wrapText="1"/>
    </xf>
    <xf numFmtId="0" fontId="65" fillId="0" borderId="83" xfId="0" applyFont="1" applyBorder="1" applyAlignment="1">
      <alignment horizontal="left" vertical="center" wrapText="1"/>
    </xf>
    <xf numFmtId="0" fontId="65" fillId="0" borderId="84" xfId="0" applyFont="1" applyBorder="1" applyAlignment="1">
      <alignment horizontal="left" vertical="center" wrapText="1"/>
    </xf>
    <xf numFmtId="0" fontId="66" fillId="0" borderId="1" xfId="0" applyFont="1" applyBorder="1" applyAlignment="1">
      <alignment horizontal="center" vertical="center" wrapText="1"/>
    </xf>
    <xf numFmtId="49" fontId="67" fillId="2" borderId="1" xfId="13" applyNumberFormat="1" applyFont="1" applyFill="1" applyBorder="1" applyAlignment="1" applyProtection="1">
      <alignment horizontal="right" vertical="center"/>
      <protection locked="0"/>
    </xf>
    <xf numFmtId="0" fontId="67" fillId="2" borderId="1" xfId="11" applyFont="1" applyFill="1" applyBorder="1" applyAlignment="1" applyProtection="1">
      <alignment horizontal="left" vertical="center" wrapText="1"/>
      <protection locked="0"/>
    </xf>
    <xf numFmtId="43" fontId="63" fillId="0" borderId="1" xfId="1" applyFont="1" applyFill="1" applyBorder="1"/>
    <xf numFmtId="43" fontId="63" fillId="0" borderId="1" xfId="1" applyFont="1" applyBorder="1"/>
    <xf numFmtId="0" fontId="63" fillId="0" borderId="1" xfId="0" applyFont="1" applyBorder="1"/>
    <xf numFmtId="43" fontId="63" fillId="0" borderId="0" xfId="0" applyNumberFormat="1" applyFont="1"/>
    <xf numFmtId="49" fontId="67" fillId="0" borderId="1" xfId="13" applyNumberFormat="1" applyFont="1" applyBorder="1" applyAlignment="1" applyProtection="1">
      <alignment horizontal="right" vertical="center"/>
      <protection locked="0"/>
    </xf>
    <xf numFmtId="0" fontId="67" fillId="0" borderId="1" xfId="11" applyFont="1" applyBorder="1" applyAlignment="1" applyProtection="1">
      <alignment horizontal="left" vertical="center" wrapText="1"/>
      <protection locked="0"/>
    </xf>
    <xf numFmtId="2" fontId="63" fillId="0" borderId="1" xfId="0" applyNumberFormat="1" applyFont="1" applyBorder="1"/>
    <xf numFmtId="0" fontId="69" fillId="0" borderId="1" xfId="11" applyFont="1" applyBorder="1" applyAlignment="1" applyProtection="1">
      <alignment horizontal="left" vertical="center" wrapText="1"/>
      <protection locked="0"/>
    </xf>
    <xf numFmtId="43" fontId="63" fillId="0" borderId="1" xfId="0" applyNumberFormat="1" applyFont="1" applyBorder="1"/>
    <xf numFmtId="49" fontId="70" fillId="0" borderId="1" xfId="13" applyNumberFormat="1" applyFont="1" applyBorder="1" applyAlignment="1" applyProtection="1">
      <alignment horizontal="right" vertical="center"/>
      <protection locked="0"/>
    </xf>
    <xf numFmtId="0" fontId="66" fillId="0" borderId="1" xfId="0" applyFont="1" applyBorder="1" applyAlignment="1">
      <alignment vertical="top" wrapText="1"/>
    </xf>
    <xf numFmtId="0" fontId="63" fillId="0" borderId="0" xfId="0" applyFont="1" applyAlignment="1">
      <alignment horizontal="left" vertical="top" wrapText="1"/>
    </xf>
    <xf numFmtId="0" fontId="62" fillId="0" borderId="0" xfId="0" applyFont="1"/>
    <xf numFmtId="0" fontId="62" fillId="0" borderId="0" xfId="0" applyFont="1" applyAlignment="1">
      <alignment wrapText="1"/>
    </xf>
    <xf numFmtId="0" fontId="62" fillId="0" borderId="1" xfId="0" applyFont="1" applyBorder="1" applyAlignment="1">
      <alignment horizontal="center" vertical="center"/>
    </xf>
    <xf numFmtId="0" fontId="62" fillId="0" borderId="1" xfId="0" applyFont="1" applyBorder="1" applyAlignment="1">
      <alignment horizontal="center" vertical="center" wrapText="1"/>
    </xf>
    <xf numFmtId="0" fontId="62" fillId="0" borderId="2"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2" xfId="0" applyFont="1" applyBorder="1" applyAlignment="1">
      <alignment horizontal="center" vertical="center" wrapText="1"/>
    </xf>
    <xf numFmtId="0" fontId="62" fillId="0" borderId="29" xfId="0" applyFont="1" applyBorder="1" applyAlignment="1">
      <alignment horizontal="center" vertical="center" wrapText="1"/>
    </xf>
    <xf numFmtId="49" fontId="67" fillId="2" borderId="1" xfId="13" applyNumberFormat="1" applyFont="1" applyFill="1" applyBorder="1" applyAlignment="1" applyProtection="1">
      <alignment horizontal="right" vertical="center" wrapText="1"/>
      <protection locked="0"/>
    </xf>
    <xf numFmtId="43" fontId="62" fillId="0" borderId="1" xfId="1" applyFont="1" applyBorder="1"/>
    <xf numFmtId="43" fontId="62" fillId="0" borderId="1" xfId="1" applyFont="1" applyFill="1" applyBorder="1"/>
    <xf numFmtId="0" fontId="62" fillId="0" borderId="1" xfId="0" applyFont="1" applyBorder="1"/>
    <xf numFmtId="171" fontId="62" fillId="7" borderId="1" xfId="21" applyFont="1" applyFill="1" applyBorder="1"/>
    <xf numFmtId="43" fontId="62" fillId="0" borderId="1" xfId="1" applyFont="1" applyBorder="1" applyAlignment="1">
      <alignment horizontal="right"/>
    </xf>
    <xf numFmtId="0" fontId="62" fillId="0" borderId="1" xfId="0" applyFont="1" applyBorder="1" applyAlignment="1">
      <alignment horizontal="right"/>
    </xf>
    <xf numFmtId="43" fontId="62" fillId="0" borderId="1" xfId="0" applyNumberFormat="1" applyFont="1" applyBorder="1" applyAlignment="1">
      <alignment horizontal="right"/>
    </xf>
    <xf numFmtId="49" fontId="67" fillId="0" borderId="1" xfId="13" applyNumberFormat="1" applyFont="1" applyBorder="1" applyAlignment="1" applyProtection="1">
      <alignment horizontal="right" vertical="center" wrapText="1"/>
      <protection locked="0"/>
    </xf>
    <xf numFmtId="43" fontId="62" fillId="0" borderId="1" xfId="1" applyFont="1" applyFill="1" applyBorder="1" applyAlignment="1">
      <alignment horizontal="right"/>
    </xf>
    <xf numFmtId="49" fontId="70" fillId="0" borderId="1" xfId="13" applyNumberFormat="1" applyFont="1" applyBorder="1" applyAlignment="1" applyProtection="1">
      <alignment horizontal="right" vertical="center" wrapText="1"/>
      <protection locked="0"/>
    </xf>
    <xf numFmtId="0" fontId="65" fillId="0" borderId="1" xfId="0" applyFont="1" applyBorder="1"/>
    <xf numFmtId="43" fontId="65" fillId="0" borderId="1" xfId="1" applyFont="1" applyBorder="1" applyAlignment="1">
      <alignment horizontal="right"/>
    </xf>
    <xf numFmtId="0" fontId="65" fillId="0" borderId="1" xfId="0" applyFont="1" applyBorder="1" applyAlignment="1">
      <alignment horizontal="right"/>
    </xf>
    <xf numFmtId="166" fontId="65" fillId="0" borderId="1" xfId="1" applyNumberFormat="1" applyFont="1" applyBorder="1"/>
    <xf numFmtId="0" fontId="66" fillId="0" borderId="0" xfId="0" applyFont="1"/>
    <xf numFmtId="0" fontId="62" fillId="0" borderId="1" xfId="0" applyFont="1" applyBorder="1" applyAlignment="1">
      <alignment wrapText="1"/>
    </xf>
    <xf numFmtId="0" fontId="62" fillId="0" borderId="1" xfId="0" applyFont="1" applyBorder="1" applyAlignment="1">
      <alignment vertical="top" wrapText="1"/>
    </xf>
    <xf numFmtId="166" fontId="62" fillId="0" borderId="1" xfId="1" applyNumberFormat="1" applyFont="1" applyFill="1" applyBorder="1" applyAlignment="1">
      <alignment horizontal="right"/>
    </xf>
    <xf numFmtId="0" fontId="62" fillId="0" borderId="1" xfId="0" applyFont="1" applyBorder="1" applyAlignment="1">
      <alignment horizontal="left" indent="8"/>
    </xf>
    <xf numFmtId="0" fontId="63" fillId="0" borderId="0" xfId="0" applyFont="1" applyAlignment="1">
      <alignment wrapText="1"/>
    </xf>
    <xf numFmtId="43" fontId="63" fillId="0" borderId="0" xfId="1" applyFont="1"/>
    <xf numFmtId="0" fontId="62" fillId="0" borderId="20" xfId="0" applyFont="1" applyBorder="1" applyAlignment="1">
      <alignment horizontal="center" vertical="center" wrapText="1"/>
    </xf>
    <xf numFmtId="0" fontId="62" fillId="0" borderId="30" xfId="0" applyFont="1" applyBorder="1" applyAlignment="1">
      <alignment horizontal="center" vertical="center" wrapText="1"/>
    </xf>
    <xf numFmtId="9" fontId="63" fillId="0" borderId="0" xfId="0" applyNumberFormat="1" applyFont="1"/>
    <xf numFmtId="0" fontId="62" fillId="0" borderId="1" xfId="0" applyFont="1" applyBorder="1" applyAlignment="1">
      <alignment horizontal="left" vertical="center" wrapText="1"/>
    </xf>
    <xf numFmtId="43" fontId="65" fillId="0" borderId="1" xfId="1" applyFont="1" applyBorder="1"/>
    <xf numFmtId="0" fontId="68" fillId="0" borderId="0" xfId="0" applyFont="1"/>
    <xf numFmtId="43" fontId="68" fillId="0" borderId="0" xfId="0" applyNumberFormat="1" applyFont="1"/>
    <xf numFmtId="166" fontId="63" fillId="0" borderId="0" xfId="1" applyNumberFormat="1" applyFont="1"/>
    <xf numFmtId="0" fontId="73" fillId="0" borderId="1" xfId="0" applyFont="1" applyBorder="1" applyAlignment="1">
      <alignment horizontal="center" vertical="center"/>
    </xf>
    <xf numFmtId="0" fontId="65" fillId="0" borderId="1" xfId="0" applyFont="1" applyBorder="1" applyAlignment="1">
      <alignment horizontal="left" indent="1"/>
    </xf>
    <xf numFmtId="0" fontId="65" fillId="0" borderId="1" xfId="0" applyFont="1" applyBorder="1" applyAlignment="1">
      <alignment horizontal="left" wrapText="1" indent="1"/>
    </xf>
    <xf numFmtId="43" fontId="66" fillId="0" borderId="1" xfId="1" applyFont="1" applyBorder="1"/>
    <xf numFmtId="0" fontId="62" fillId="0" borderId="1" xfId="0" applyFont="1" applyBorder="1" applyAlignment="1">
      <alignment horizontal="left" indent="1"/>
    </xf>
    <xf numFmtId="0" fontId="62" fillId="0" borderId="1" xfId="0" applyFont="1" applyBorder="1" applyAlignment="1">
      <alignment horizontal="left" indent="3"/>
    </xf>
    <xf numFmtId="0" fontId="62" fillId="0" borderId="1" xfId="0" applyFont="1" applyBorder="1" applyAlignment="1">
      <alignment horizontal="left" wrapText="1" indent="4"/>
    </xf>
    <xf numFmtId="0" fontId="62" fillId="0" borderId="1" xfId="0" applyFont="1" applyBorder="1" applyAlignment="1">
      <alignment horizontal="left" wrapText="1" indent="1"/>
    </xf>
    <xf numFmtId="0" fontId="65" fillId="0" borderId="1" xfId="0" applyFont="1" applyBorder="1" applyAlignment="1">
      <alignment horizontal="left" vertical="center" indent="1"/>
    </xf>
    <xf numFmtId="166" fontId="68" fillId="0" borderId="0" xfId="0" applyNumberFormat="1" applyFont="1"/>
    <xf numFmtId="0" fontId="63" fillId="0" borderId="0" xfId="0" applyFont="1" applyAlignment="1">
      <alignment vertical="top" wrapText="1"/>
    </xf>
    <xf numFmtId="0" fontId="64" fillId="0" borderId="3" xfId="0" applyFont="1" applyBorder="1" applyAlignment="1">
      <alignment horizontal="center" vertical="center"/>
    </xf>
    <xf numFmtId="0" fontId="64" fillId="0" borderId="80" xfId="0" applyFont="1" applyBorder="1" applyAlignment="1">
      <alignment horizontal="center" vertical="center"/>
    </xf>
    <xf numFmtId="0" fontId="65" fillId="0" borderId="1" xfId="0" applyFont="1" applyBorder="1" applyAlignment="1">
      <alignment horizontal="center" vertical="center" wrapText="1"/>
    </xf>
    <xf numFmtId="0" fontId="64" fillId="0" borderId="15" xfId="0" applyFont="1" applyBorder="1" applyAlignment="1">
      <alignment horizontal="center" vertical="center"/>
    </xf>
    <xf numFmtId="0" fontId="64" fillId="0" borderId="35" xfId="0" applyFont="1" applyBorder="1" applyAlignment="1">
      <alignment horizontal="center" vertical="center"/>
    </xf>
    <xf numFmtId="0" fontId="62" fillId="15" borderId="1" xfId="0" applyFont="1" applyFill="1" applyBorder="1"/>
    <xf numFmtId="0" fontId="62" fillId="0" borderId="1" xfId="0" applyFont="1" applyBorder="1" applyAlignment="1">
      <alignment horizontal="left" wrapText="1"/>
    </xf>
    <xf numFmtId="0" fontId="62" fillId="0" borderId="1" xfId="0" applyFont="1" applyBorder="1" applyAlignment="1">
      <alignment horizontal="left" wrapText="1" indent="2"/>
    </xf>
    <xf numFmtId="0" fontId="65" fillId="0" borderId="29" xfId="0" applyFont="1" applyBorder="1"/>
    <xf numFmtId="0" fontId="62" fillId="0" borderId="0" xfId="5" applyFont="1" applyAlignment="1">
      <alignment vertical="top" wrapText="1"/>
    </xf>
    <xf numFmtId="43" fontId="62" fillId="0" borderId="0" xfId="0" applyNumberFormat="1" applyFont="1"/>
    <xf numFmtId="0" fontId="62" fillId="0" borderId="0" xfId="0" applyFont="1" applyAlignment="1">
      <alignment horizontal="center" vertical="center"/>
    </xf>
    <xf numFmtId="0" fontId="62" fillId="0" borderId="0" xfId="0" applyFont="1" applyAlignment="1">
      <alignment horizontal="center"/>
    </xf>
    <xf numFmtId="0" fontId="65" fillId="0" borderId="3" xfId="0" applyFont="1" applyBorder="1" applyAlignment="1">
      <alignment horizontal="center" vertical="center" wrapText="1"/>
    </xf>
    <xf numFmtId="0" fontId="65" fillId="0" borderId="80" xfId="0" applyFont="1" applyBorder="1" applyAlignment="1">
      <alignment horizontal="center" vertical="center" wrapText="1"/>
    </xf>
    <xf numFmtId="0" fontId="62" fillId="0" borderId="21"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30" xfId="0" applyFont="1" applyBorder="1" applyAlignment="1">
      <alignment horizontal="center" vertical="center" wrapText="1"/>
    </xf>
    <xf numFmtId="0" fontId="65" fillId="0" borderId="85" xfId="0" applyFont="1" applyBorder="1" applyAlignment="1">
      <alignment horizontal="center" vertical="center" wrapText="1"/>
    </xf>
    <xf numFmtId="0" fontId="65" fillId="0" borderId="34" xfId="0" applyFont="1" applyBorder="1" applyAlignment="1">
      <alignment horizontal="center" vertical="center" wrapText="1"/>
    </xf>
    <xf numFmtId="0" fontId="65" fillId="0" borderId="37" xfId="0" applyFont="1" applyBorder="1" applyAlignment="1">
      <alignment horizontal="center" vertical="center" wrapText="1"/>
    </xf>
    <xf numFmtId="0" fontId="62" fillId="0" borderId="37"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80" xfId="0" applyFont="1" applyBorder="1" applyAlignment="1">
      <alignment horizontal="center" vertical="center" wrapText="1"/>
    </xf>
    <xf numFmtId="0" fontId="62" fillId="0" borderId="0" xfId="0" applyFont="1" applyAlignment="1">
      <alignment horizontal="center" vertical="center" wrapText="1"/>
    </xf>
    <xf numFmtId="0" fontId="62" fillId="0" borderId="35" xfId="0" applyFont="1" applyBorder="1" applyAlignment="1">
      <alignment horizontal="center" vertical="center" wrapText="1"/>
    </xf>
    <xf numFmtId="0" fontId="62" fillId="0" borderId="3" xfId="0" applyFont="1" applyBorder="1" applyAlignment="1">
      <alignment horizontal="center" vertical="center" wrapText="1"/>
    </xf>
    <xf numFmtId="0" fontId="65" fillId="0" borderId="15"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29" xfId="0" applyFont="1" applyBorder="1" applyAlignment="1">
      <alignment horizontal="center" vertical="center" wrapText="1"/>
    </xf>
    <xf numFmtId="0" fontId="62" fillId="0" borderId="29" xfId="0" applyFont="1" applyBorder="1" applyAlignment="1">
      <alignment wrapText="1"/>
    </xf>
    <xf numFmtId="0" fontId="62" fillId="0" borderId="15" xfId="0" applyFont="1" applyBorder="1" applyAlignment="1">
      <alignment wrapText="1"/>
    </xf>
    <xf numFmtId="0" fontId="62" fillId="0" borderId="35"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1" xfId="0" applyFont="1" applyBorder="1" applyAlignment="1">
      <alignment horizontal="center"/>
    </xf>
    <xf numFmtId="0" fontId="65" fillId="0" borderId="1" xfId="0" applyFont="1" applyBorder="1" applyAlignment="1">
      <alignment vertical="top" wrapText="1"/>
    </xf>
    <xf numFmtId="0" fontId="65" fillId="8" borderId="1" xfId="0" applyFont="1" applyFill="1" applyBorder="1"/>
    <xf numFmtId="14" fontId="62" fillId="0" borderId="0" xfId="0" applyNumberFormat="1" applyFont="1"/>
    <xf numFmtId="0" fontId="65" fillId="0" borderId="63" xfId="0" applyFont="1" applyBorder="1" applyAlignment="1">
      <alignment horizontal="left" vertical="top" wrapText="1"/>
    </xf>
    <xf numFmtId="0" fontId="65" fillId="0" borderId="71" xfId="0" applyFont="1" applyBorder="1" applyAlignment="1">
      <alignment horizontal="left" vertical="top" wrapText="1"/>
    </xf>
    <xf numFmtId="0" fontId="62" fillId="0" borderId="63" xfId="0" applyFont="1" applyBorder="1" applyAlignment="1">
      <alignment horizontal="center" vertical="center" wrapText="1"/>
    </xf>
    <xf numFmtId="0" fontId="62" fillId="0" borderId="64" xfId="0" applyFont="1" applyBorder="1" applyAlignment="1">
      <alignment horizontal="center" vertical="center" wrapText="1"/>
    </xf>
    <xf numFmtId="0" fontId="62" fillId="0" borderId="71" xfId="0" applyFont="1" applyBorder="1" applyAlignment="1">
      <alignment horizontal="center" vertical="center" wrapText="1"/>
    </xf>
    <xf numFmtId="0" fontId="65" fillId="0" borderId="65" xfId="0" applyFont="1" applyBorder="1" applyAlignment="1">
      <alignment horizontal="left" vertical="top" wrapText="1"/>
    </xf>
    <xf numFmtId="0" fontId="65" fillId="0" borderId="77" xfId="0" applyFont="1" applyBorder="1" applyAlignment="1">
      <alignment horizontal="left" vertical="top" wrapText="1"/>
    </xf>
    <xf numFmtId="0" fontId="65" fillId="0" borderId="86" xfId="0" applyFont="1" applyBorder="1" applyAlignment="1">
      <alignment horizontal="center" vertical="center" wrapText="1"/>
    </xf>
    <xf numFmtId="0" fontId="62" fillId="0" borderId="19" xfId="0" applyFont="1" applyBorder="1" applyAlignment="1">
      <alignment horizontal="center" vertical="center" wrapText="1"/>
    </xf>
    <xf numFmtId="0" fontId="65" fillId="0" borderId="18" xfId="0" applyFont="1" applyBorder="1" applyAlignment="1">
      <alignment horizontal="left" vertical="top" wrapText="1"/>
    </xf>
    <xf numFmtId="0" fontId="65" fillId="0" borderId="17" xfId="0" applyFont="1" applyBorder="1" applyAlignment="1">
      <alignment horizontal="left" vertical="top" wrapText="1"/>
    </xf>
    <xf numFmtId="0" fontId="65" fillId="0" borderId="38" xfId="0" applyFont="1" applyBorder="1" applyAlignment="1">
      <alignment horizontal="center" vertical="center" wrapText="1"/>
    </xf>
    <xf numFmtId="0" fontId="62" fillId="0" borderId="12" xfId="0" applyFont="1" applyBorder="1" applyAlignment="1">
      <alignment horizontal="left" indent="1"/>
    </xf>
    <xf numFmtId="49" fontId="62" fillId="0" borderId="19" xfId="0" applyNumberFormat="1" applyFont="1" applyBorder="1" applyAlignment="1">
      <alignment horizontal="left" indent="1"/>
    </xf>
    <xf numFmtId="43" fontId="62" fillId="16" borderId="12" xfId="1" applyFont="1" applyFill="1" applyBorder="1"/>
    <xf numFmtId="0" fontId="62" fillId="16" borderId="1" xfId="0" applyFont="1" applyFill="1" applyBorder="1"/>
    <xf numFmtId="0" fontId="62" fillId="16" borderId="19" xfId="0" applyFont="1" applyFill="1" applyBorder="1"/>
    <xf numFmtId="49" fontId="62" fillId="0" borderId="12" xfId="0" applyNumberFormat="1" applyFont="1" applyBorder="1" applyAlignment="1">
      <alignment horizontal="left" wrapText="1" indent="2"/>
    </xf>
    <xf numFmtId="43" fontId="62" fillId="0" borderId="12" xfId="1" applyFont="1" applyBorder="1" applyAlignment="1">
      <alignment horizontal="left" vertical="center" wrapText="1" indent="2"/>
    </xf>
    <xf numFmtId="0" fontId="62" fillId="0" borderId="19" xfId="0" applyFont="1" applyBorder="1"/>
    <xf numFmtId="49" fontId="62" fillId="0" borderId="12" xfId="0" applyNumberFormat="1" applyFont="1" applyBorder="1" applyAlignment="1">
      <alignment horizontal="left" wrapText="1" indent="3"/>
    </xf>
    <xf numFmtId="49" fontId="62" fillId="0" borderId="19" xfId="0" applyNumberFormat="1" applyFont="1" applyBorder="1" applyAlignment="1">
      <alignment horizontal="left" wrapText="1" indent="2"/>
    </xf>
    <xf numFmtId="49" fontId="62" fillId="0" borderId="19" xfId="0" applyNumberFormat="1" applyFont="1" applyBorder="1" applyAlignment="1">
      <alignment horizontal="left" wrapText="1" indent="3"/>
    </xf>
    <xf numFmtId="0" fontId="62" fillId="0" borderId="12" xfId="0" applyFont="1" applyBorder="1" applyAlignment="1">
      <alignment horizontal="left" wrapText="1" indent="1"/>
    </xf>
    <xf numFmtId="49" fontId="62" fillId="0" borderId="19" xfId="0" applyNumberFormat="1" applyFont="1" applyBorder="1" applyAlignment="1">
      <alignment horizontal="left" wrapText="1" indent="1"/>
    </xf>
    <xf numFmtId="43" fontId="62" fillId="0" borderId="12" xfId="1" applyFont="1" applyBorder="1" applyAlignment="1">
      <alignment horizontal="left" wrapText="1" indent="1"/>
    </xf>
    <xf numFmtId="0" fontId="62" fillId="0" borderId="26" xfId="0" applyFont="1" applyBorder="1" applyAlignment="1">
      <alignment horizontal="left" wrapText="1" indent="1"/>
    </xf>
    <xf numFmtId="49" fontId="62" fillId="0" borderId="28" xfId="0" applyNumberFormat="1" applyFont="1" applyBorder="1" applyAlignment="1">
      <alignment vertical="top" wrapText="1"/>
    </xf>
    <xf numFmtId="43" fontId="62" fillId="0" borderId="26" xfId="1" applyFont="1" applyBorder="1" applyAlignment="1">
      <alignment horizontal="left" wrapText="1" indent="1"/>
    </xf>
    <xf numFmtId="43" fontId="62" fillId="0" borderId="27" xfId="1" applyFont="1" applyBorder="1"/>
    <xf numFmtId="0" fontId="62" fillId="0" borderId="27" xfId="0" applyFont="1" applyBorder="1"/>
    <xf numFmtId="0" fontId="62" fillId="0" borderId="28" xfId="0" applyFont="1" applyBorder="1"/>
    <xf numFmtId="0" fontId="62" fillId="0" borderId="3" xfId="0" applyFont="1" applyBorder="1" applyAlignment="1">
      <alignment horizontal="center" vertical="top" wrapText="1"/>
    </xf>
    <xf numFmtId="0" fontId="62" fillId="0" borderId="4" xfId="0" applyFont="1" applyBorder="1" applyAlignment="1">
      <alignment horizontal="center" vertical="top" wrapText="1"/>
    </xf>
    <xf numFmtId="0" fontId="62" fillId="0" borderId="21" xfId="0" applyFont="1" applyBorder="1" applyAlignment="1">
      <alignment horizontal="center" vertical="top" wrapText="1"/>
    </xf>
    <xf numFmtId="0" fontId="62" fillId="0" borderId="30" xfId="0" applyFont="1" applyBorder="1" applyAlignment="1">
      <alignment horizontal="center" vertical="top" wrapText="1"/>
    </xf>
    <xf numFmtId="0" fontId="65" fillId="0" borderId="34" xfId="0" applyFont="1" applyBorder="1" applyAlignment="1">
      <alignment horizontal="left" vertical="center" wrapText="1"/>
    </xf>
    <xf numFmtId="43" fontId="62" fillId="0" borderId="1" xfId="1" applyFont="1" applyBorder="1" applyAlignment="1">
      <alignment horizontal="left" vertical="center" wrapText="1"/>
    </xf>
    <xf numFmtId="0" fontId="65" fillId="0" borderId="1" xfId="0" applyFont="1" applyBorder="1" applyAlignment="1">
      <alignment horizontal="left" vertical="center" wrapText="1"/>
    </xf>
    <xf numFmtId="43" fontId="65" fillId="0" borderId="1" xfId="0" applyNumberFormat="1" applyFont="1" applyBorder="1" applyAlignment="1">
      <alignment horizontal="left" vertical="center" wrapText="1"/>
    </xf>
    <xf numFmtId="0" fontId="67" fillId="0" borderId="0" xfId="0" applyFont="1"/>
    <xf numFmtId="0" fontId="67" fillId="0" borderId="0" xfId="0" applyFont="1" applyAlignment="1">
      <alignment horizontal="center" vertical="center"/>
    </xf>
    <xf numFmtId="0" fontId="74" fillId="0" borderId="0" xfId="0" applyFont="1"/>
    <xf numFmtId="0" fontId="75" fillId="0" borderId="0" xfId="0" applyFont="1"/>
    <xf numFmtId="0" fontId="76" fillId="0" borderId="87" xfId="0" applyFont="1" applyBorder="1" applyAlignment="1">
      <alignment horizontal="left" vertical="top" wrapText="1"/>
    </xf>
    <xf numFmtId="0" fontId="76" fillId="0" borderId="88" xfId="0" applyFont="1" applyBorder="1" applyAlignment="1">
      <alignment horizontal="left" vertical="top" wrapText="1"/>
    </xf>
    <xf numFmtId="0" fontId="65" fillId="0" borderId="1" xfId="0" applyFont="1" applyBorder="1" applyAlignment="1">
      <alignment horizontal="center" vertical="center" wrapText="1"/>
    </xf>
    <xf numFmtId="43" fontId="74" fillId="0" borderId="0" xfId="0" applyNumberFormat="1" applyFont="1"/>
    <xf numFmtId="166" fontId="74" fillId="0" borderId="0" xfId="1" applyNumberFormat="1" applyFont="1"/>
    <xf numFmtId="43" fontId="67" fillId="0" borderId="1" xfId="1" applyFont="1" applyBorder="1"/>
    <xf numFmtId="43" fontId="67" fillId="0" borderId="1" xfId="1" applyFont="1" applyFill="1" applyBorder="1"/>
    <xf numFmtId="0" fontId="9" fillId="0" borderId="0" xfId="0" applyFont="1" applyAlignment="1">
      <alignment wrapText="1"/>
    </xf>
    <xf numFmtId="166" fontId="74" fillId="0" borderId="0" xfId="1" applyNumberFormat="1" applyFont="1" applyFill="1"/>
    <xf numFmtId="43" fontId="75" fillId="0" borderId="0" xfId="0" applyNumberFormat="1" applyFont="1"/>
    <xf numFmtId="0" fontId="75" fillId="0" borderId="0" xfId="0" applyFont="1" applyAlignment="1">
      <alignment vertical="top" wrapText="1"/>
    </xf>
    <xf numFmtId="0" fontId="77" fillId="0" borderId="0" xfId="0" applyFont="1"/>
    <xf numFmtId="0" fontId="70" fillId="0" borderId="1" xfId="0" applyFont="1" applyBorder="1" applyAlignment="1">
      <alignment horizontal="center" vertical="center"/>
    </xf>
    <xf numFmtId="0" fontId="67" fillId="0" borderId="2" xfId="0" applyFont="1" applyBorder="1" applyAlignment="1">
      <alignment horizontal="center" vertical="center" wrapText="1"/>
    </xf>
    <xf numFmtId="0" fontId="67" fillId="0" borderId="1" xfId="0" applyFont="1" applyBorder="1" applyAlignment="1">
      <alignment horizontal="center" vertical="center" wrapText="1"/>
    </xf>
    <xf numFmtId="0" fontId="77" fillId="0" borderId="29" xfId="0" applyFont="1" applyBorder="1"/>
    <xf numFmtId="0" fontId="67" fillId="0" borderId="1" xfId="0" applyFont="1" applyBorder="1" applyAlignment="1">
      <alignment horizontal="left" indent="2"/>
    </xf>
    <xf numFmtId="0" fontId="62" fillId="0" borderId="89" xfId="0" applyFont="1" applyBorder="1" applyAlignment="1">
      <alignment vertical="center" wrapText="1" readingOrder="1"/>
    </xf>
    <xf numFmtId="43" fontId="67" fillId="0" borderId="1" xfId="0" applyNumberFormat="1" applyFont="1" applyBorder="1"/>
    <xf numFmtId="0" fontId="67" fillId="0" borderId="1" xfId="0" applyFont="1" applyBorder="1"/>
    <xf numFmtId="9" fontId="67" fillId="0" borderId="1" xfId="0" applyNumberFormat="1" applyFont="1" applyBorder="1"/>
    <xf numFmtId="0" fontId="62" fillId="0" borderId="90" xfId="0" applyFont="1" applyBorder="1" applyAlignment="1">
      <alignment vertical="center" wrapText="1" readingOrder="1"/>
    </xf>
    <xf numFmtId="0" fontId="77" fillId="8" borderId="0" xfId="0" applyFont="1" applyFill="1"/>
    <xf numFmtId="0" fontId="77" fillId="14" borderId="0" xfId="0" applyFont="1" applyFill="1"/>
    <xf numFmtId="0" fontId="67" fillId="0" borderId="2" xfId="0" applyFont="1" applyBorder="1" applyAlignment="1">
      <alignment horizontal="left" indent="2"/>
    </xf>
    <xf numFmtId="0" fontId="62" fillId="0" borderId="91" xfId="0" applyFont="1" applyBorder="1" applyAlignment="1">
      <alignment vertical="center" wrapText="1" readingOrder="1"/>
    </xf>
    <xf numFmtId="43" fontId="67" fillId="0" borderId="2" xfId="1" applyFont="1" applyBorder="1"/>
    <xf numFmtId="0" fontId="65" fillId="0" borderId="1" xfId="0" applyFont="1" applyBorder="1" applyAlignment="1">
      <alignment vertical="center" wrapText="1" readingOrder="1"/>
    </xf>
    <xf numFmtId="0" fontId="67" fillId="0" borderId="1" xfId="0" applyFont="1" applyBorder="1" applyAlignment="1">
      <alignment horizontal="left" indent="3"/>
    </xf>
    <xf numFmtId="0" fontId="62" fillId="0" borderId="90" xfId="0" applyFont="1" applyBorder="1" applyAlignment="1">
      <alignment horizontal="left" vertical="center" wrapText="1" indent="1" readingOrder="1"/>
    </xf>
    <xf numFmtId="166" fontId="2" fillId="0" borderId="0" xfId="1" applyNumberFormat="1" applyFont="1" applyFill="1"/>
    <xf numFmtId="43" fontId="31" fillId="0" borderId="0" xfId="1" applyFont="1" applyFill="1"/>
    <xf numFmtId="0" fontId="3" fillId="0" borderId="0" xfId="0" applyFont="1" applyFill="1"/>
    <xf numFmtId="0" fontId="4" fillId="0" borderId="0" xfId="0" applyFont="1" applyFill="1"/>
    <xf numFmtId="43" fontId="21" fillId="0" borderId="0" xfId="1" applyFont="1" applyFill="1"/>
    <xf numFmtId="0" fontId="2" fillId="0" borderId="0" xfId="0" applyFont="1" applyFill="1"/>
    <xf numFmtId="166" fontId="2" fillId="0" borderId="0" xfId="1" applyNumberFormat="1" applyFont="1" applyFill="1" applyAlignment="1">
      <alignment wrapText="1"/>
    </xf>
    <xf numFmtId="0" fontId="9" fillId="0" borderId="0" xfId="5" applyFont="1" applyFill="1"/>
    <xf numFmtId="0" fontId="4" fillId="0" borderId="0" xfId="0" applyFont="1" applyFill="1" applyAlignment="1">
      <alignment horizontal="center" vertical="center"/>
    </xf>
    <xf numFmtId="0" fontId="44" fillId="0" borderId="0" xfId="0" applyFont="1" applyFill="1" applyAlignment="1">
      <alignment horizontal="left" vertical="center"/>
    </xf>
    <xf numFmtId="0" fontId="4" fillId="0" borderId="0" xfId="0" applyFont="1" applyFill="1" applyAlignment="1">
      <alignment horizontal="left" vertical="center"/>
    </xf>
    <xf numFmtId="166" fontId="44" fillId="0" borderId="0" xfId="1" applyNumberFormat="1" applyFont="1" applyFill="1" applyAlignment="1">
      <alignment horizontal="left" vertical="center"/>
    </xf>
    <xf numFmtId="0" fontId="13" fillId="0" borderId="0" xfId="0" applyFont="1" applyFill="1" applyAlignment="1">
      <alignment horizontal="left" vertical="center"/>
    </xf>
    <xf numFmtId="0" fontId="44" fillId="0" borderId="0" xfId="0" applyFont="1" applyFill="1" applyAlignment="1">
      <alignment horizontal="center" vertical="center"/>
    </xf>
    <xf numFmtId="0" fontId="0" fillId="0" borderId="0" xfId="0" applyFill="1"/>
    <xf numFmtId="43" fontId="2" fillId="0" borderId="0" xfId="0" applyNumberFormat="1" applyFont="1" applyFill="1"/>
    <xf numFmtId="166" fontId="21" fillId="0" borderId="0" xfId="1" applyNumberFormat="1" applyFont="1" applyFill="1"/>
    <xf numFmtId="165" fontId="4" fillId="0" borderId="0" xfId="0" applyNumberFormat="1" applyFont="1" applyFill="1"/>
    <xf numFmtId="3" fontId="4" fillId="0" borderId="0" xfId="0" applyNumberFormat="1" applyFont="1" applyFill="1"/>
    <xf numFmtId="0" fontId="35" fillId="0" borderId="0" xfId="0" applyFont="1" applyFill="1"/>
    <xf numFmtId="38" fontId="4" fillId="0" borderId="0" xfId="0" applyNumberFormat="1" applyFont="1" applyFill="1"/>
    <xf numFmtId="166" fontId="44" fillId="0" borderId="0" xfId="1" applyNumberFormat="1" applyFont="1" applyFill="1"/>
    <xf numFmtId="166" fontId="43" fillId="0" borderId="0" xfId="1" applyNumberFormat="1" applyFont="1" applyFill="1"/>
    <xf numFmtId="170" fontId="0" fillId="0" borderId="0" xfId="0" applyNumberFormat="1" applyFill="1"/>
    <xf numFmtId="166" fontId="5" fillId="0" borderId="0" xfId="19" applyNumberFormat="1" applyFont="1" applyFill="1"/>
    <xf numFmtId="166" fontId="5" fillId="0" borderId="0" xfId="20" applyNumberFormat="1" applyFill="1"/>
    <xf numFmtId="166" fontId="60" fillId="0" borderId="0" xfId="1" applyNumberFormat="1" applyFont="1" applyFill="1"/>
    <xf numFmtId="166" fontId="2" fillId="0" borderId="0" xfId="0" applyNumberFormat="1" applyFont="1" applyFill="1"/>
    <xf numFmtId="0" fontId="63" fillId="0" borderId="0" xfId="0" applyFont="1" applyFill="1"/>
    <xf numFmtId="43" fontId="68" fillId="0" borderId="0" xfId="0" applyNumberFormat="1" applyFont="1" applyFill="1"/>
    <xf numFmtId="43" fontId="63" fillId="0" borderId="0" xfId="0" applyNumberFormat="1" applyFont="1" applyFill="1"/>
    <xf numFmtId="0" fontId="68" fillId="0" borderId="0" xfId="0" applyFont="1" applyFill="1" applyAlignment="1">
      <alignment horizontal="right"/>
    </xf>
    <xf numFmtId="166" fontId="68" fillId="0" borderId="0" xfId="1" applyNumberFormat="1" applyFont="1" applyFill="1"/>
    <xf numFmtId="3" fontId="63" fillId="0" borderId="0" xfId="0" applyNumberFormat="1" applyFont="1" applyFill="1"/>
    <xf numFmtId="0" fontId="68" fillId="0" borderId="0" xfId="0" applyFont="1" applyFill="1"/>
    <xf numFmtId="166" fontId="71" fillId="0" borderId="0" xfId="1" applyNumberFormat="1" applyFont="1" applyFill="1"/>
    <xf numFmtId="0" fontId="66" fillId="0" borderId="0" xfId="0" applyFont="1" applyFill="1"/>
    <xf numFmtId="0" fontId="69" fillId="0" borderId="1" xfId="11" applyFont="1" applyFill="1" applyBorder="1" applyAlignment="1" applyProtection="1">
      <alignment horizontal="left" vertical="center" wrapText="1"/>
      <protection locked="0"/>
    </xf>
    <xf numFmtId="43" fontId="66" fillId="0" borderId="0" xfId="1" applyFont="1" applyFill="1"/>
    <xf numFmtId="43" fontId="63" fillId="0" borderId="0" xfId="1" applyFont="1" applyFill="1"/>
    <xf numFmtId="166" fontId="62" fillId="0" borderId="1" xfId="1" applyNumberFormat="1" applyFont="1" applyFill="1" applyBorder="1"/>
    <xf numFmtId="0" fontId="63" fillId="0" borderId="0" xfId="0" applyFont="1" applyFill="1" applyAlignment="1">
      <alignment horizontal="left"/>
    </xf>
    <xf numFmtId="166" fontId="63" fillId="0" borderId="0" xfId="0" applyNumberFormat="1" applyFont="1" applyFill="1"/>
    <xf numFmtId="43" fontId="62" fillId="0" borderId="0" xfId="1" applyFont="1" applyFill="1"/>
    <xf numFmtId="43" fontId="71" fillId="0" borderId="0" xfId="0" applyNumberFormat="1" applyFont="1" applyFill="1"/>
    <xf numFmtId="0" fontId="62" fillId="0" borderId="0" xfId="0" applyFont="1" applyFill="1"/>
    <xf numFmtId="43" fontId="65" fillId="0" borderId="1" xfId="1" applyFont="1" applyFill="1" applyBorder="1"/>
    <xf numFmtId="43" fontId="62" fillId="0" borderId="0" xfId="0" applyNumberFormat="1" applyFont="1" applyFill="1"/>
    <xf numFmtId="0" fontId="62" fillId="0" borderId="0" xfId="0" applyFont="1" applyFill="1" applyBorder="1"/>
    <xf numFmtId="0" fontId="72" fillId="0" borderId="0" xfId="0" applyFont="1" applyFill="1" applyBorder="1"/>
    <xf numFmtId="43" fontId="65" fillId="0" borderId="1" xfId="0" applyNumberFormat="1" applyFont="1" applyFill="1" applyBorder="1"/>
    <xf numFmtId="0" fontId="62" fillId="0" borderId="1" xfId="0" applyFont="1" applyFill="1" applyBorder="1"/>
    <xf numFmtId="43" fontId="65" fillId="0" borderId="1" xfId="1" applyFont="1" applyFill="1" applyBorder="1" applyAlignment="1">
      <alignment horizontal="left" indent="1"/>
    </xf>
    <xf numFmtId="0" fontId="62" fillId="0" borderId="1" xfId="0" applyFont="1" applyFill="1" applyBorder="1" applyAlignment="1">
      <alignment horizontal="left" indent="1"/>
    </xf>
    <xf numFmtId="166" fontId="65" fillId="0" borderId="1" xfId="0" applyNumberFormat="1" applyFont="1" applyFill="1" applyBorder="1"/>
    <xf numFmtId="0" fontId="65" fillId="0" borderId="1" xfId="0" applyFont="1" applyFill="1" applyBorder="1"/>
    <xf numFmtId="166" fontId="62" fillId="0" borderId="1" xfId="1" applyNumberFormat="1" applyFont="1" applyFill="1" applyBorder="1" applyAlignment="1">
      <alignment horizontal="left" indent="1"/>
    </xf>
    <xf numFmtId="0" fontId="62" fillId="0" borderId="38" xfId="0" applyFont="1" applyFill="1" applyBorder="1"/>
    <xf numFmtId="0" fontId="65" fillId="0" borderId="42" xfId="0" applyFont="1" applyFill="1" applyBorder="1"/>
    <xf numFmtId="43" fontId="65" fillId="0" borderId="38" xfId="0" applyNumberFormat="1" applyFont="1" applyFill="1" applyBorder="1"/>
    <xf numFmtId="0" fontId="62" fillId="0" borderId="19" xfId="0" applyFont="1" applyFill="1" applyBorder="1"/>
    <xf numFmtId="0" fontId="62" fillId="0" borderId="12" xfId="0" applyFont="1" applyFill="1" applyBorder="1" applyAlignment="1">
      <alignment horizontal="left" indent="1"/>
    </xf>
    <xf numFmtId="0" fontId="62" fillId="0" borderId="19" xfId="0" applyFont="1" applyFill="1" applyBorder="1" applyAlignment="1">
      <alignment horizontal="left" indent="1"/>
    </xf>
    <xf numFmtId="43" fontId="62" fillId="0" borderId="12" xfId="1" applyFont="1" applyFill="1" applyBorder="1" applyAlignment="1">
      <alignment horizontal="center"/>
    </xf>
    <xf numFmtId="0" fontId="62" fillId="0" borderId="12" xfId="0" applyFont="1" applyFill="1" applyBorder="1" applyAlignment="1">
      <alignment horizontal="left" indent="2"/>
    </xf>
    <xf numFmtId="0" fontId="62" fillId="0" borderId="19" xfId="0" applyFont="1" applyFill="1" applyBorder="1" applyAlignment="1">
      <alignment horizontal="left" indent="2"/>
    </xf>
    <xf numFmtId="43" fontId="62" fillId="0" borderId="12" xfId="1" applyFont="1" applyFill="1" applyBorder="1" applyAlignment="1">
      <alignment horizontal="right" indent="2"/>
    </xf>
    <xf numFmtId="49" fontId="62" fillId="0" borderId="12" xfId="0" applyNumberFormat="1" applyFont="1" applyFill="1" applyBorder="1" applyAlignment="1">
      <alignment horizontal="left" indent="3"/>
    </xf>
    <xf numFmtId="49" fontId="62" fillId="0" borderId="19" xfId="0" applyNumberFormat="1" applyFont="1" applyFill="1" applyBorder="1" applyAlignment="1">
      <alignment horizontal="left" indent="3"/>
    </xf>
    <xf numFmtId="43" fontId="62" fillId="0" borderId="12" xfId="1" applyFont="1" applyFill="1" applyBorder="1" applyAlignment="1">
      <alignment horizontal="left" indent="3"/>
    </xf>
    <xf numFmtId="49" fontId="62" fillId="0" borderId="12" xfId="0" applyNumberFormat="1" applyFont="1" applyFill="1" applyBorder="1" applyAlignment="1">
      <alignment horizontal="left" indent="1"/>
    </xf>
    <xf numFmtId="49" fontId="62" fillId="0" borderId="19" xfId="0" applyNumberFormat="1" applyFont="1" applyFill="1" applyBorder="1" applyAlignment="1">
      <alignment horizontal="left" indent="1"/>
    </xf>
    <xf numFmtId="43" fontId="62" fillId="0" borderId="12" xfId="1" applyFont="1" applyFill="1" applyBorder="1" applyAlignment="1">
      <alignment horizontal="left" indent="1"/>
    </xf>
    <xf numFmtId="49" fontId="62" fillId="0" borderId="19" xfId="0" applyNumberFormat="1" applyFont="1" applyFill="1" applyBorder="1" applyAlignment="1">
      <alignment horizontal="left" vertical="top" wrapText="1" indent="2"/>
    </xf>
    <xf numFmtId="49" fontId="62" fillId="0" borderId="19" xfId="0" applyNumberFormat="1" applyFont="1" applyFill="1" applyBorder="1" applyAlignment="1">
      <alignment horizontal="left" wrapText="1" indent="3"/>
    </xf>
    <xf numFmtId="0" fontId="62" fillId="0" borderId="0" xfId="0" applyFont="1" applyFill="1" applyAlignment="1">
      <alignment horizontal="center" vertical="center"/>
    </xf>
    <xf numFmtId="43" fontId="62" fillId="0" borderId="0" xfId="0" applyNumberFormat="1" applyFont="1" applyFill="1" applyAlignment="1">
      <alignment horizontal="left"/>
    </xf>
    <xf numFmtId="43" fontId="62" fillId="0" borderId="1" xfId="1" applyFont="1" applyFill="1" applyBorder="1" applyAlignment="1">
      <alignment horizontal="left" vertical="center" wrapText="1"/>
    </xf>
    <xf numFmtId="0" fontId="77" fillId="0" borderId="0" xfId="0" applyFont="1" applyFill="1"/>
    <xf numFmtId="0" fontId="77" fillId="0" borderId="0" xfId="0" applyFont="1" applyFill="1" applyAlignment="1">
      <alignment vertical="top" wrapText="1"/>
    </xf>
    <xf numFmtId="43" fontId="77" fillId="0" borderId="0" xfId="0" applyNumberFormat="1" applyFont="1" applyFill="1"/>
    <xf numFmtId="9" fontId="2" fillId="0" borderId="0" xfId="2" applyFont="1" applyFill="1"/>
    <xf numFmtId="10" fontId="2" fillId="0" borderId="0" xfId="2" applyNumberFormat="1" applyFont="1" applyFill="1"/>
    <xf numFmtId="43" fontId="2" fillId="0" borderId="0" xfId="1" applyFont="1" applyFill="1"/>
    <xf numFmtId="0" fontId="67" fillId="0" borderId="1" xfId="0" applyFont="1" applyFill="1" applyBorder="1" applyAlignment="1">
      <alignment horizontal="left" indent="3"/>
    </xf>
    <xf numFmtId="0" fontId="62" fillId="0" borderId="90" xfId="0" applyFont="1" applyFill="1" applyBorder="1" applyAlignment="1">
      <alignment horizontal="left" vertical="center" wrapText="1" indent="1" readingOrder="1"/>
    </xf>
    <xf numFmtId="168" fontId="56" fillId="0" borderId="1" xfId="18" applyNumberFormat="1" applyFont="1" applyFill="1" applyBorder="1" applyAlignment="1" applyProtection="1">
      <alignment horizontal="right" vertical="center"/>
      <protection locked="0"/>
    </xf>
  </cellXfs>
  <cellStyles count="22">
    <cellStyle name="=C:\WINNT35\SYSTEM32\COMMAND.COM" xfId="17" xr:uid="{CE3D820E-74D4-4D00-94DB-33AC0F33EE03}"/>
    <cellStyle name="1Normal 2" xfId="6" xr:uid="{44077FF4-8770-4A79-9E1A-F3515B864E72}"/>
    <cellStyle name="Comma" xfId="1" builtinId="3"/>
    <cellStyle name="Comma 10" xfId="18" xr:uid="{9B7EDA50-A324-4863-ACAF-19C8D6849EBB}"/>
    <cellStyle name="Comma 10 12" xfId="19" xr:uid="{686EFB91-15AB-429D-929F-9BD1F0A77F16}"/>
    <cellStyle name="Comma 111" xfId="21" xr:uid="{1CD52049-DA17-4ACD-AE9A-0CCD4A56D052}"/>
    <cellStyle name="Comma 2" xfId="15" xr:uid="{211CC24D-6036-41E6-A3DA-AA09D9A58F14}"/>
    <cellStyle name="Comma 3" xfId="10" xr:uid="{07FD5B65-864F-4868-9B4C-E5C87130C8A0}"/>
    <cellStyle name="Hyperlink" xfId="3" builtinId="8"/>
    <cellStyle name="Normal" xfId="0" builtinId="0"/>
    <cellStyle name="Normal 10 2" xfId="20" xr:uid="{60FDFC1B-FCD6-46AC-8322-021D0953437F}"/>
    <cellStyle name="Normal 121 2" xfId="12" xr:uid="{73871A19-3C2F-4D05-A09F-6E0EFADCD045}"/>
    <cellStyle name="Normal 122" xfId="4" xr:uid="{96071845-C705-494C-8AF7-5609FA8D15D6}"/>
    <cellStyle name="Normal 123" xfId="7" xr:uid="{C0E47460-AC79-4330-9B2C-1727938D1E34}"/>
    <cellStyle name="Normal 2" xfId="5" xr:uid="{6993EA25-347C-4830-9A89-1B61EAEFF702}"/>
    <cellStyle name="Normal 2 2" xfId="13" xr:uid="{2791DD4F-6604-427D-8322-0C2B782B70FE}"/>
    <cellStyle name="Normal 4" xfId="11" xr:uid="{44A69644-1EC1-4112-98D3-A03ED9B3DBC0}"/>
    <cellStyle name="Normal_Capital &amp; RWA N" xfId="8" xr:uid="{1CEE0E0A-48E4-4BE6-A016-ED9FCAA91A90}"/>
    <cellStyle name="Normal_Capital &amp; RWA N 2" xfId="14" xr:uid="{248015C0-F09A-42B7-9169-B4BF17BEADAB}"/>
    <cellStyle name="Normal_Casestdy draft" xfId="16" xr:uid="{1A86FED4-C95C-4BCC-A006-8BE7C743AFF6}"/>
    <cellStyle name="Normal_Casestdy draft 2" xfId="9" xr:uid="{9340D20C-9431-4B24-92FF-AC6F29A8A478}"/>
    <cellStyle name="Percent" xfId="2"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9967CAD0-A4BA-4318-88B0-D9B1BDD99D9A}"/>
            </a:ext>
          </a:extLst>
        </xdr:cNvPr>
        <xdr:cNvCxnSpPr/>
      </xdr:nvCxnSpPr>
      <xdr:spPr>
        <a:xfrm>
          <a:off x="704850" y="1162050"/>
          <a:ext cx="632460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AFAAD-F95E-4CCD-955C-C93B05C2452B}">
  <sheetPr>
    <tabColor theme="2" tint="-9.9978637043366805E-2"/>
  </sheetPr>
  <dimension ref="A1:C35"/>
  <sheetViews>
    <sheetView zoomScaleNormal="85" workbookViewId="0">
      <pane xSplit="1" ySplit="7" topLeftCell="B8" activePane="bottomRight" state="frozen"/>
      <selection activeCell="B39" sqref="B39"/>
      <selection pane="topRight" activeCell="B39" sqref="B39"/>
      <selection pane="bottomLeft" activeCell="B39" sqref="B39"/>
      <selection pane="bottomRight" activeCell="C25" sqref="C25"/>
    </sheetView>
  </sheetViews>
  <sheetFormatPr defaultRowHeight="15" x14ac:dyDescent="0.25"/>
  <cols>
    <col min="1" max="1" width="10.28515625" style="22" customWidth="1"/>
    <col min="2" max="2" width="153" bestFit="1" customWidth="1"/>
    <col min="3" max="3" width="39.42578125" customWidth="1"/>
    <col min="7" max="7" width="62.140625" customWidth="1"/>
  </cols>
  <sheetData>
    <row r="1" spans="1:3" ht="15.75" x14ac:dyDescent="0.3">
      <c r="A1" s="1"/>
      <c r="B1" s="2" t="s">
        <v>0</v>
      </c>
      <c r="C1" s="3"/>
    </row>
    <row r="2" spans="1:3" s="7" customFormat="1" ht="15.75" x14ac:dyDescent="0.3">
      <c r="A2" s="4">
        <v>1</v>
      </c>
      <c r="B2" s="5" t="s">
        <v>1</v>
      </c>
      <c r="C2" s="6" t="s">
        <v>2</v>
      </c>
    </row>
    <row r="3" spans="1:3" s="7" customFormat="1" ht="15.75" x14ac:dyDescent="0.3">
      <c r="A3" s="4">
        <v>2</v>
      </c>
      <c r="B3" s="8" t="s">
        <v>3</v>
      </c>
      <c r="C3" s="6" t="s">
        <v>4</v>
      </c>
    </row>
    <row r="4" spans="1:3" s="7" customFormat="1" ht="40.5" customHeight="1" x14ac:dyDescent="0.3">
      <c r="A4" s="4">
        <v>3</v>
      </c>
      <c r="B4" s="8" t="s">
        <v>5</v>
      </c>
      <c r="C4" s="6" t="s">
        <v>6</v>
      </c>
    </row>
    <row r="5" spans="1:3" s="7" customFormat="1" ht="15.75" x14ac:dyDescent="0.3">
      <c r="A5" s="9">
        <v>4</v>
      </c>
      <c r="B5" s="10" t="s">
        <v>7</v>
      </c>
      <c r="C5" s="11" t="s">
        <v>8</v>
      </c>
    </row>
    <row r="6" spans="1:3" s="14" customFormat="1" ht="65.25" customHeight="1" x14ac:dyDescent="0.3">
      <c r="A6" s="12" t="s">
        <v>9</v>
      </c>
      <c r="B6" s="13"/>
      <c r="C6" s="13"/>
    </row>
    <row r="7" spans="1:3" x14ac:dyDescent="0.25">
      <c r="A7" s="15" t="s">
        <v>10</v>
      </c>
      <c r="B7" s="2" t="s">
        <v>11</v>
      </c>
    </row>
    <row r="8" spans="1:3" x14ac:dyDescent="0.25">
      <c r="A8" s="1">
        <v>1</v>
      </c>
      <c r="B8" s="16" t="s">
        <v>12</v>
      </c>
    </row>
    <row r="9" spans="1:3" x14ac:dyDescent="0.25">
      <c r="A9" s="1">
        <v>2</v>
      </c>
      <c r="B9" s="16" t="s">
        <v>13</v>
      </c>
    </row>
    <row r="10" spans="1:3" x14ac:dyDescent="0.25">
      <c r="A10" s="1">
        <v>3</v>
      </c>
      <c r="B10" s="16" t="s">
        <v>14</v>
      </c>
    </row>
    <row r="11" spans="1:3" x14ac:dyDescent="0.25">
      <c r="A11" s="1">
        <v>4</v>
      </c>
      <c r="B11" s="16" t="s">
        <v>15</v>
      </c>
    </row>
    <row r="12" spans="1:3" x14ac:dyDescent="0.25">
      <c r="A12" s="1">
        <v>5</v>
      </c>
      <c r="B12" s="16" t="s">
        <v>16</v>
      </c>
    </row>
    <row r="13" spans="1:3" x14ac:dyDescent="0.25">
      <c r="A13" s="1">
        <v>6</v>
      </c>
      <c r="B13" s="17" t="s">
        <v>17</v>
      </c>
    </row>
    <row r="14" spans="1:3" x14ac:dyDescent="0.25">
      <c r="A14" s="1">
        <v>7</v>
      </c>
      <c r="B14" s="16" t="s">
        <v>18</v>
      </c>
    </row>
    <row r="15" spans="1:3" x14ac:dyDescent="0.25">
      <c r="A15" s="1">
        <v>8</v>
      </c>
      <c r="B15" s="16" t="s">
        <v>19</v>
      </c>
    </row>
    <row r="16" spans="1:3" x14ac:dyDescent="0.25">
      <c r="A16" s="1">
        <v>9</v>
      </c>
      <c r="B16" s="16" t="s">
        <v>20</v>
      </c>
    </row>
    <row r="17" spans="1:2" x14ac:dyDescent="0.25">
      <c r="A17" s="18" t="s">
        <v>21</v>
      </c>
      <c r="B17" s="16" t="s">
        <v>22</v>
      </c>
    </row>
    <row r="18" spans="1:2" x14ac:dyDescent="0.25">
      <c r="A18" s="1">
        <v>10</v>
      </c>
      <c r="B18" s="16" t="s">
        <v>23</v>
      </c>
    </row>
    <row r="19" spans="1:2" x14ac:dyDescent="0.25">
      <c r="A19" s="1">
        <v>11</v>
      </c>
      <c r="B19" s="17" t="s">
        <v>24</v>
      </c>
    </row>
    <row r="20" spans="1:2" x14ac:dyDescent="0.25">
      <c r="A20" s="1">
        <v>12</v>
      </c>
      <c r="B20" s="17" t="s">
        <v>25</v>
      </c>
    </row>
    <row r="21" spans="1:2" x14ac:dyDescent="0.25">
      <c r="A21" s="1">
        <v>13</v>
      </c>
      <c r="B21" s="19" t="s">
        <v>26</v>
      </c>
    </row>
    <row r="22" spans="1:2" x14ac:dyDescent="0.25">
      <c r="A22" s="1">
        <v>14</v>
      </c>
      <c r="B22" s="20" t="s">
        <v>27</v>
      </c>
    </row>
    <row r="23" spans="1:2" x14ac:dyDescent="0.25">
      <c r="A23" s="1">
        <v>15</v>
      </c>
      <c r="B23" s="16" t="s">
        <v>28</v>
      </c>
    </row>
    <row r="24" spans="1:2" x14ac:dyDescent="0.25">
      <c r="A24" s="1">
        <v>15.1</v>
      </c>
      <c r="B24" s="16" t="s">
        <v>29</v>
      </c>
    </row>
    <row r="25" spans="1:2" x14ac:dyDescent="0.25">
      <c r="A25" s="1">
        <v>16</v>
      </c>
      <c r="B25" s="16" t="s">
        <v>30</v>
      </c>
    </row>
    <row r="26" spans="1:2" x14ac:dyDescent="0.25">
      <c r="A26" s="1">
        <v>17</v>
      </c>
      <c r="B26" s="16" t="s">
        <v>31</v>
      </c>
    </row>
    <row r="27" spans="1:2" x14ac:dyDescent="0.25">
      <c r="A27" s="1">
        <v>18</v>
      </c>
      <c r="B27" s="16" t="s">
        <v>32</v>
      </c>
    </row>
    <row r="28" spans="1:2" x14ac:dyDescent="0.25">
      <c r="A28" s="1">
        <v>19</v>
      </c>
      <c r="B28" s="16" t="s">
        <v>33</v>
      </c>
    </row>
    <row r="29" spans="1:2" x14ac:dyDescent="0.25">
      <c r="A29" s="1">
        <v>20</v>
      </c>
      <c r="B29" s="16" t="s">
        <v>34</v>
      </c>
    </row>
    <row r="30" spans="1:2" x14ac:dyDescent="0.25">
      <c r="A30" s="1">
        <v>21</v>
      </c>
      <c r="B30" s="16" t="s">
        <v>35</v>
      </c>
    </row>
    <row r="31" spans="1:2" x14ac:dyDescent="0.25">
      <c r="A31" s="1">
        <v>22</v>
      </c>
      <c r="B31" s="16" t="s">
        <v>36</v>
      </c>
    </row>
    <row r="32" spans="1:2" ht="25.5" x14ac:dyDescent="0.25">
      <c r="A32" s="1">
        <v>23</v>
      </c>
      <c r="B32" s="21" t="s">
        <v>37</v>
      </c>
    </row>
    <row r="33" spans="1:2" x14ac:dyDescent="0.25">
      <c r="A33" s="1">
        <v>24</v>
      </c>
      <c r="B33" s="16" t="s">
        <v>38</v>
      </c>
    </row>
    <row r="34" spans="1:2" x14ac:dyDescent="0.25">
      <c r="A34" s="1">
        <v>25</v>
      </c>
      <c r="B34" s="16" t="s">
        <v>39</v>
      </c>
    </row>
    <row r="35" spans="1:2" x14ac:dyDescent="0.25">
      <c r="A35" s="1">
        <v>26</v>
      </c>
      <c r="B35" s="16" t="s">
        <v>40</v>
      </c>
    </row>
  </sheetData>
  <mergeCells count="1">
    <mergeCell ref="A6:C6"/>
  </mergeCells>
  <hyperlinks>
    <hyperlink ref="B8" location="'1. key ratios'!A1" display="ცხრილი 1: ძირითადი მაჩვენებლები" xr:uid="{A5A5F0AF-CA80-44D9-9C85-DC6A36572738}"/>
    <hyperlink ref="B9" location="'2. SOFP'!A1" display="საბალანსო უწყისი" xr:uid="{BAAA48AC-EE55-4EC1-B6A6-96A6B9253595}"/>
    <hyperlink ref="B10" location="'3. SOPL'!A1" display="მოგება-ზარალის ანგარიშგება" xr:uid="{708F8B2A-9E70-4F22-A742-4240A83E4EE6}"/>
    <hyperlink ref="B11" location="'4. Off-Balance'!A1" display="ბალანსგარეშე ანგარიშების უწყისი " xr:uid="{08937BA0-1931-40E8-9200-EF64566FF0EE}"/>
    <hyperlink ref="B12" location="'5. RWA'!A1" display="ცხრილი 5: რისკის მიხედვით შეწონილი რისკის პოზიციები" xr:uid="{413EA0F5-FBD1-4462-9749-9072651121B0}"/>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7075BE17-C67E-463D-AB84-CB419D2A2877}"/>
    <hyperlink ref="B13" location="'6. Administrators-shareholders'!A1" display="ინფორმაცია ბანკის სამეთვალყურეო საბჭოს, დირექტორატის და აქციონერთა შესახებ" xr:uid="{8603E558-C829-4D1B-8E6A-95D9A71469D1}"/>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1B157AF0-A68F-46AB-A54E-1779C05D624A}"/>
    <hyperlink ref="B16" location="'9. Capital'!A1" display="ცხრილი 9: საზედამხედველო კაპიტალი" xr:uid="{998D5D64-CD20-460D-9838-6F14CBE2EDB4}"/>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EC50D5A3-3631-40C2-8AC7-A7DF0434EAAD}"/>
    <hyperlink ref="B20" location="'12. CRM'!A1" display="საკრედიტო რისკის მიტიგაცია" xr:uid="{D5F041D0-4DE0-4031-A5C0-2D60BCFF5932}"/>
    <hyperlink ref="B19" location="'11. CRWA'!A1" display="საკრედიტო რისკის მიხედვით შეწონილი რისკის პოზიციები" xr:uid="{717B6D18-6BB3-44DF-9AA0-92E7184A1C61}"/>
    <hyperlink ref="B21" location="'13. CRME'!A1" display="სტანდარტიზებული მიდგომა - საკრედიტო რისკი საკრედიტო რისკის მიტიგაციის ეფექტი" xr:uid="{F1377DA2-B11E-4DC3-8C0E-BB3DAFF29DC7}"/>
    <hyperlink ref="B23" location="'15. CCR'!A1" display="კონტრაგენტთან დაკავშირებული საკრედიტო რისკის მიხედვით შეწონილი რისკის პოზიციები" xr:uid="{D9401C37-013A-46C5-B18B-2F9618DA3364}"/>
    <hyperlink ref="B22" location="'14. LCR'!A1" display="ლიკვიდობის გადაფარვის კოეფიციენტი" xr:uid="{EC2596C9-ABD7-4C36-8EB5-370FF735F771}"/>
    <hyperlink ref="B17" location="'9.1. Capital Requirements'!A1" display="კაპიტალის ადეკვატურობის მოთხოვნები" xr:uid="{4AA2B9F6-B0AF-463F-83E9-BA4DE323AF93}"/>
    <hyperlink ref="B24" location="'15.1. LR'!A1" display="ლევერიჯის კოეფიციენტი" xr:uid="{920969FC-EA56-4D43-A433-4202C9381703}"/>
    <hyperlink ref="B25" location="'16. NSFR'!A1" display="წმინდა სტაბილური დაფინანსების კოეფიციენტი" xr:uid="{15F06EBD-023A-464F-8E8A-8FFB9BCC1EB1}"/>
    <hyperlink ref="B26" location="' 17. Residual Maturity'!A1" display="რისკის პოზიციის ღირებულება ნარჩენი ვადიანობის  და რისკის კლასების მიხედვით" xr:uid="{7A776E1B-2C42-4203-8948-41A83544EF38}"/>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D456AB45-8AC3-48F0-B4B6-8E82BC98475B}"/>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D42693CC-2498-4076-AF3D-F9A1F48E535E}"/>
    <hyperlink ref="B30" location="'21. NPL'!A1" display="უმოქმედო სესხების ცვლილება" xr:uid="{4A408D1B-E583-47B2-A2E6-6AD3DB4D6A90}"/>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042227EC-7EAC-4DFA-BC97-9A465AFF8F9D}"/>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3B0EE810-A8B1-4AF3-8082-503E2CA11616}"/>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407E13E4-D58F-4ECF-AAAD-ADA10B66452D}"/>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80AE3168-4061-46E9-B408-315B6F41ED85}"/>
    <hyperlink ref="B29" location="'20. Reserves'!A1" display="რეზერვის ცვლილება სესხებზე და კორპორატიულ სავალო ფასიანი ქაღალდებზე" xr:uid="{581AA028-5E7F-4FF6-8849-FD6D04643AEA}"/>
    <hyperlink ref="B35" location="'26. Retail Products'!A1" display="ზოგადი ინფორმაცია საცალო პროდუქტებზე" xr:uid="{BADFA6AF-EC5D-4268-B42C-9F96231C251D}"/>
    <hyperlink ref="C5" r:id="rId1" xr:uid="{0C6F5948-E69A-4B52-83D0-D24F25C3313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9ACC-2EAF-4034-8AE6-3F576658523F}">
  <dimension ref="A1:F58"/>
  <sheetViews>
    <sheetView zoomScaleNormal="100" workbookViewId="0">
      <pane xSplit="1" ySplit="5" topLeftCell="B27" activePane="bottomRight" state="frozen"/>
      <selection activeCell="D46" sqref="D46"/>
      <selection pane="topRight" activeCell="D46" sqref="D46"/>
      <selection pane="bottomLeft" activeCell="D46" sqref="D46"/>
      <selection pane="bottomRight" activeCell="C6" sqref="C6:C53"/>
    </sheetView>
  </sheetViews>
  <sheetFormatPr defaultRowHeight="15" x14ac:dyDescent="0.25"/>
  <cols>
    <col min="1" max="1" width="9.5703125" style="22" bestFit="1" customWidth="1"/>
    <col min="2" max="2" width="132.42578125" style="22" customWidth="1"/>
    <col min="3" max="3" width="18.42578125" style="22" customWidth="1"/>
    <col min="5" max="5" width="13.7109375" style="275" bestFit="1" customWidth="1"/>
    <col min="6" max="6" width="14.42578125" bestFit="1" customWidth="1"/>
    <col min="7" max="7" width="10" customWidth="1"/>
  </cols>
  <sheetData>
    <row r="1" spans="1:6" ht="15.75" x14ac:dyDescent="0.3">
      <c r="A1" s="23" t="s">
        <v>41</v>
      </c>
      <c r="B1" s="25" t="str">
        <f>Info!C2</f>
        <v>სს სილქ ბანკი</v>
      </c>
      <c r="D1" s="22"/>
      <c r="E1" s="323"/>
      <c r="F1" s="22"/>
    </row>
    <row r="2" spans="1:6" s="23" customFormat="1" ht="15.75" customHeight="1" x14ac:dyDescent="0.3">
      <c r="A2" s="23" t="s">
        <v>42</v>
      </c>
      <c r="B2" s="26">
        <f>'1. key ratios'!B2</f>
        <v>45382</v>
      </c>
      <c r="E2" s="276"/>
    </row>
    <row r="3" spans="1:6" s="23" customFormat="1" ht="15.75" customHeight="1" x14ac:dyDescent="0.3">
      <c r="E3" s="276"/>
    </row>
    <row r="4" spans="1:6" ht="40.5" customHeight="1" thickBot="1" x14ac:dyDescent="0.3">
      <c r="A4" s="22" t="s">
        <v>308</v>
      </c>
      <c r="B4" s="324" t="s">
        <v>20</v>
      </c>
    </row>
    <row r="5" spans="1:6" x14ac:dyDescent="0.25">
      <c r="A5" s="325" t="s">
        <v>46</v>
      </c>
      <c r="B5" s="326"/>
      <c r="C5" s="327" t="s">
        <v>94</v>
      </c>
    </row>
    <row r="6" spans="1:6" x14ac:dyDescent="0.25">
      <c r="A6" s="328">
        <v>1</v>
      </c>
      <c r="B6" s="329" t="s">
        <v>309</v>
      </c>
      <c r="C6" s="330">
        <f>SUM(C7:C11)</f>
        <v>57810821.681260474</v>
      </c>
      <c r="E6" s="306"/>
    </row>
    <row r="7" spans="1:6" x14ac:dyDescent="0.25">
      <c r="A7" s="328">
        <v>2</v>
      </c>
      <c r="B7" s="331" t="s">
        <v>310</v>
      </c>
      <c r="C7" s="332">
        <f>'2. SOFP'!C55</f>
        <v>72746400</v>
      </c>
      <c r="E7" s="306"/>
    </row>
    <row r="8" spans="1:6" x14ac:dyDescent="0.25">
      <c r="A8" s="328">
        <v>3</v>
      </c>
      <c r="B8" s="333" t="s">
        <v>311</v>
      </c>
      <c r="C8" s="332"/>
      <c r="E8" s="306"/>
    </row>
    <row r="9" spans="1:6" x14ac:dyDescent="0.25">
      <c r="A9" s="328">
        <v>4</v>
      </c>
      <c r="B9" s="333" t="s">
        <v>312</v>
      </c>
      <c r="C9" s="332"/>
      <c r="E9" s="306"/>
    </row>
    <row r="10" spans="1:6" x14ac:dyDescent="0.25">
      <c r="A10" s="328">
        <v>5</v>
      </c>
      <c r="B10" s="333" t="s">
        <v>313</v>
      </c>
      <c r="C10" s="332">
        <f>'2. SOFP'!C64</f>
        <v>3615196.900470661</v>
      </c>
      <c r="E10" s="306"/>
    </row>
    <row r="11" spans="1:6" x14ac:dyDescent="0.25">
      <c r="A11" s="328">
        <v>6</v>
      </c>
      <c r="B11" s="334" t="s">
        <v>314</v>
      </c>
      <c r="C11" s="332">
        <f>'2. SOFP'!E67</f>
        <v>-18550775.219210185</v>
      </c>
      <c r="E11" s="306"/>
    </row>
    <row r="12" spans="1:6" s="262" customFormat="1" x14ac:dyDescent="0.25">
      <c r="A12" s="328">
        <v>7</v>
      </c>
      <c r="B12" s="329" t="s">
        <v>315</v>
      </c>
      <c r="C12" s="335">
        <f>SUM(C13:C28)</f>
        <v>4846134.4904706618</v>
      </c>
      <c r="E12" s="306"/>
    </row>
    <row r="13" spans="1:6" s="262" customFormat="1" x14ac:dyDescent="0.25">
      <c r="A13" s="328">
        <v>8</v>
      </c>
      <c r="B13" s="336" t="s">
        <v>316</v>
      </c>
      <c r="C13" s="337">
        <f>C10</f>
        <v>3615196.900470661</v>
      </c>
      <c r="E13" s="306"/>
    </row>
    <row r="14" spans="1:6" s="262" customFormat="1" ht="27" x14ac:dyDescent="0.25">
      <c r="A14" s="328">
        <v>9</v>
      </c>
      <c r="B14" s="338" t="s">
        <v>317</v>
      </c>
      <c r="C14" s="337"/>
      <c r="E14" s="306"/>
    </row>
    <row r="15" spans="1:6" s="262" customFormat="1" x14ac:dyDescent="0.25">
      <c r="A15" s="328">
        <v>10</v>
      </c>
      <c r="B15" s="339" t="s">
        <v>116</v>
      </c>
      <c r="C15" s="337">
        <f>'7. LI1'!C28</f>
        <v>1230937.5900000008</v>
      </c>
      <c r="E15" s="306"/>
    </row>
    <row r="16" spans="1:6" s="262" customFormat="1" x14ac:dyDescent="0.25">
      <c r="A16" s="328">
        <v>11</v>
      </c>
      <c r="B16" s="340" t="s">
        <v>318</v>
      </c>
      <c r="C16" s="337"/>
      <c r="E16" s="306"/>
    </row>
    <row r="17" spans="1:6" s="262" customFormat="1" x14ac:dyDescent="0.25">
      <c r="A17" s="328">
        <v>12</v>
      </c>
      <c r="B17" s="339" t="s">
        <v>319</v>
      </c>
      <c r="C17" s="337"/>
      <c r="E17" s="306"/>
    </row>
    <row r="18" spans="1:6" s="262" customFormat="1" x14ac:dyDescent="0.25">
      <c r="A18" s="328">
        <v>13</v>
      </c>
      <c r="B18" s="339" t="s">
        <v>320</v>
      </c>
      <c r="C18" s="337"/>
      <c r="E18" s="306"/>
    </row>
    <row r="19" spans="1:6" s="262" customFormat="1" x14ac:dyDescent="0.25">
      <c r="A19" s="328">
        <v>14</v>
      </c>
      <c r="B19" s="339" t="s">
        <v>321</v>
      </c>
      <c r="C19" s="337"/>
      <c r="E19" s="306"/>
    </row>
    <row r="20" spans="1:6" s="262" customFormat="1" ht="27" x14ac:dyDescent="0.25">
      <c r="A20" s="328">
        <v>15</v>
      </c>
      <c r="B20" s="339" t="s">
        <v>322</v>
      </c>
      <c r="C20" s="337"/>
      <c r="E20" s="306"/>
    </row>
    <row r="21" spans="1:6" s="262" customFormat="1" ht="27" x14ac:dyDescent="0.25">
      <c r="A21" s="328">
        <v>16</v>
      </c>
      <c r="B21" s="338" t="s">
        <v>323</v>
      </c>
      <c r="C21" s="337"/>
      <c r="E21" s="306"/>
    </row>
    <row r="22" spans="1:6" s="262" customFormat="1" x14ac:dyDescent="0.25">
      <c r="A22" s="328">
        <v>17</v>
      </c>
      <c r="B22" s="341" t="s">
        <v>324</v>
      </c>
      <c r="C22" s="337"/>
      <c r="E22" s="306"/>
    </row>
    <row r="23" spans="1:6" s="262" customFormat="1" x14ac:dyDescent="0.25">
      <c r="A23" s="328">
        <v>18</v>
      </c>
      <c r="B23" s="342" t="s">
        <v>325</v>
      </c>
      <c r="C23" s="337"/>
      <c r="E23" s="306"/>
    </row>
    <row r="24" spans="1:6" s="262" customFormat="1" ht="27" x14ac:dyDescent="0.25">
      <c r="A24" s="328">
        <v>19</v>
      </c>
      <c r="B24" s="338" t="s">
        <v>326</v>
      </c>
      <c r="C24" s="337"/>
      <c r="E24" s="306"/>
    </row>
    <row r="25" spans="1:6" s="262" customFormat="1" ht="27" x14ac:dyDescent="0.25">
      <c r="A25" s="328">
        <v>20</v>
      </c>
      <c r="B25" s="338" t="s">
        <v>327</v>
      </c>
      <c r="C25" s="337"/>
      <c r="E25" s="306"/>
    </row>
    <row r="26" spans="1:6" s="262" customFormat="1" ht="27" x14ac:dyDescent="0.25">
      <c r="A26" s="328">
        <v>21</v>
      </c>
      <c r="B26" s="340" t="s">
        <v>328</v>
      </c>
      <c r="C26" s="337"/>
      <c r="E26" s="306"/>
    </row>
    <row r="27" spans="1:6" s="262" customFormat="1" x14ac:dyDescent="0.25">
      <c r="A27" s="328">
        <v>22</v>
      </c>
      <c r="B27" s="340" t="s">
        <v>329</v>
      </c>
      <c r="C27" s="337"/>
      <c r="E27" s="306"/>
    </row>
    <row r="28" spans="1:6" s="262" customFormat="1" ht="27" x14ac:dyDescent="0.25">
      <c r="A28" s="328">
        <v>23</v>
      </c>
      <c r="B28" s="340" t="s">
        <v>330</v>
      </c>
      <c r="C28" s="337"/>
      <c r="E28" s="306"/>
    </row>
    <row r="29" spans="1:6" s="262" customFormat="1" x14ac:dyDescent="0.25">
      <c r="A29" s="328">
        <v>24</v>
      </c>
      <c r="B29" s="343" t="s">
        <v>53</v>
      </c>
      <c r="C29" s="335">
        <f>C6-C12</f>
        <v>52964687.190789811</v>
      </c>
      <c r="E29" s="306"/>
      <c r="F29" s="344"/>
    </row>
    <row r="30" spans="1:6" s="262" customFormat="1" x14ac:dyDescent="0.25">
      <c r="A30" s="345"/>
      <c r="B30" s="346"/>
      <c r="C30" s="337"/>
      <c r="E30" s="306"/>
    </row>
    <row r="31" spans="1:6" s="262" customFormat="1" x14ac:dyDescent="0.25">
      <c r="A31" s="345">
        <v>25</v>
      </c>
      <c r="B31" s="343" t="s">
        <v>331</v>
      </c>
      <c r="C31" s="335">
        <f>C32+C35</f>
        <v>0</v>
      </c>
      <c r="E31" s="306"/>
    </row>
    <row r="32" spans="1:6" s="262" customFormat="1" x14ac:dyDescent="0.25">
      <c r="A32" s="345">
        <v>26</v>
      </c>
      <c r="B32" s="333" t="s">
        <v>332</v>
      </c>
      <c r="C32" s="347">
        <f>C33+C34</f>
        <v>0</v>
      </c>
      <c r="E32" s="306"/>
    </row>
    <row r="33" spans="1:5" s="262" customFormat="1" x14ac:dyDescent="0.25">
      <c r="A33" s="345">
        <v>27</v>
      </c>
      <c r="B33" s="348" t="s">
        <v>333</v>
      </c>
      <c r="C33" s="337"/>
      <c r="E33" s="306"/>
    </row>
    <row r="34" spans="1:5" s="262" customFormat="1" x14ac:dyDescent="0.25">
      <c r="A34" s="345">
        <v>28</v>
      </c>
      <c r="B34" s="348" t="s">
        <v>334</v>
      </c>
      <c r="C34" s="337"/>
      <c r="E34" s="306"/>
    </row>
    <row r="35" spans="1:5" s="262" customFormat="1" x14ac:dyDescent="0.25">
      <c r="A35" s="345">
        <v>29</v>
      </c>
      <c r="B35" s="333" t="s">
        <v>335</v>
      </c>
      <c r="C35" s="337"/>
      <c r="E35" s="306"/>
    </row>
    <row r="36" spans="1:5" s="262" customFormat="1" x14ac:dyDescent="0.25">
      <c r="A36" s="345">
        <v>30</v>
      </c>
      <c r="B36" s="343" t="s">
        <v>336</v>
      </c>
      <c r="C36" s="335">
        <f>SUM(C37:C41)</f>
        <v>0</v>
      </c>
      <c r="E36" s="306"/>
    </row>
    <row r="37" spans="1:5" s="262" customFormat="1" x14ac:dyDescent="0.25">
      <c r="A37" s="345">
        <v>31</v>
      </c>
      <c r="B37" s="338" t="s">
        <v>337</v>
      </c>
      <c r="C37" s="337"/>
      <c r="E37" s="306"/>
    </row>
    <row r="38" spans="1:5" s="262" customFormat="1" x14ac:dyDescent="0.25">
      <c r="A38" s="345">
        <v>32</v>
      </c>
      <c r="B38" s="339" t="s">
        <v>338</v>
      </c>
      <c r="C38" s="337"/>
      <c r="E38" s="306"/>
    </row>
    <row r="39" spans="1:5" s="262" customFormat="1" ht="27" x14ac:dyDescent="0.25">
      <c r="A39" s="345">
        <v>33</v>
      </c>
      <c r="B39" s="338" t="s">
        <v>339</v>
      </c>
      <c r="C39" s="337"/>
      <c r="E39" s="306"/>
    </row>
    <row r="40" spans="1:5" s="262" customFormat="1" ht="27" x14ac:dyDescent="0.25">
      <c r="A40" s="345">
        <v>34</v>
      </c>
      <c r="B40" s="338" t="s">
        <v>327</v>
      </c>
      <c r="C40" s="337"/>
      <c r="E40" s="306"/>
    </row>
    <row r="41" spans="1:5" s="262" customFormat="1" ht="27" x14ac:dyDescent="0.25">
      <c r="A41" s="345">
        <v>35</v>
      </c>
      <c r="B41" s="340" t="s">
        <v>340</v>
      </c>
      <c r="C41" s="337"/>
      <c r="E41" s="306"/>
    </row>
    <row r="42" spans="1:5" s="262" customFormat="1" x14ac:dyDescent="0.25">
      <c r="A42" s="345">
        <v>36</v>
      </c>
      <c r="B42" s="343" t="s">
        <v>341</v>
      </c>
      <c r="C42" s="335">
        <f>C31-C36</f>
        <v>0</v>
      </c>
      <c r="E42" s="306"/>
    </row>
    <row r="43" spans="1:5" s="262" customFormat="1" x14ac:dyDescent="0.25">
      <c r="A43" s="345"/>
      <c r="B43" s="346"/>
      <c r="C43" s="337"/>
      <c r="E43" s="306"/>
    </row>
    <row r="44" spans="1:5" s="262" customFormat="1" x14ac:dyDescent="0.25">
      <c r="A44" s="345">
        <v>37</v>
      </c>
      <c r="B44" s="349" t="s">
        <v>342</v>
      </c>
      <c r="C44" s="335">
        <f>SUM(C45:C47)</f>
        <v>3306250</v>
      </c>
      <c r="E44" s="306"/>
    </row>
    <row r="45" spans="1:5" s="262" customFormat="1" x14ac:dyDescent="0.25">
      <c r="A45" s="345">
        <v>38</v>
      </c>
      <c r="B45" s="333" t="s">
        <v>343</v>
      </c>
      <c r="C45" s="337">
        <v>3306250</v>
      </c>
      <c r="E45" s="306"/>
    </row>
    <row r="46" spans="1:5" s="262" customFormat="1" x14ac:dyDescent="0.25">
      <c r="A46" s="345">
        <v>39</v>
      </c>
      <c r="B46" s="333" t="s">
        <v>344</v>
      </c>
      <c r="C46" s="337"/>
      <c r="E46" s="306"/>
    </row>
    <row r="47" spans="1:5" s="262" customFormat="1" x14ac:dyDescent="0.25">
      <c r="A47" s="345">
        <v>40</v>
      </c>
      <c r="B47" s="350" t="s">
        <v>345</v>
      </c>
      <c r="C47" s="337"/>
      <c r="E47" s="306"/>
    </row>
    <row r="48" spans="1:5" s="262" customFormat="1" x14ac:dyDescent="0.25">
      <c r="A48" s="345">
        <v>41</v>
      </c>
      <c r="B48" s="349" t="s">
        <v>346</v>
      </c>
      <c r="C48" s="335">
        <f>SUM(C49:C52)</f>
        <v>0</v>
      </c>
      <c r="E48" s="306"/>
    </row>
    <row r="49" spans="1:5" s="262" customFormat="1" x14ac:dyDescent="0.25">
      <c r="A49" s="345">
        <v>42</v>
      </c>
      <c r="B49" s="338" t="s">
        <v>347</v>
      </c>
      <c r="C49" s="337"/>
      <c r="E49" s="306"/>
    </row>
    <row r="50" spans="1:5" s="262" customFormat="1" x14ac:dyDescent="0.25">
      <c r="A50" s="345">
        <v>43</v>
      </c>
      <c r="B50" s="339" t="s">
        <v>348</v>
      </c>
      <c r="C50" s="337"/>
      <c r="E50" s="306"/>
    </row>
    <row r="51" spans="1:5" s="262" customFormat="1" ht="27" x14ac:dyDescent="0.25">
      <c r="A51" s="345">
        <v>44</v>
      </c>
      <c r="B51" s="338" t="s">
        <v>349</v>
      </c>
      <c r="C51" s="337"/>
      <c r="E51" s="306"/>
    </row>
    <row r="52" spans="1:5" s="262" customFormat="1" ht="27" x14ac:dyDescent="0.25">
      <c r="A52" s="345">
        <v>45</v>
      </c>
      <c r="B52" s="338" t="s">
        <v>327</v>
      </c>
      <c r="C52" s="337"/>
      <c r="E52" s="306"/>
    </row>
    <row r="53" spans="1:5" s="262" customFormat="1" ht="15.75" thickBot="1" x14ac:dyDescent="0.3">
      <c r="A53" s="345">
        <v>46</v>
      </c>
      <c r="B53" s="351" t="s">
        <v>350</v>
      </c>
      <c r="C53" s="352">
        <f>C44-C48</f>
        <v>3306250</v>
      </c>
      <c r="E53" s="306"/>
    </row>
    <row r="55" spans="1:5" x14ac:dyDescent="0.25">
      <c r="C55" s="353"/>
    </row>
    <row r="56" spans="1:5" x14ac:dyDescent="0.25">
      <c r="B56" s="22" t="s">
        <v>351</v>
      </c>
      <c r="C56" s="354"/>
    </row>
    <row r="57" spans="1:5" x14ac:dyDescent="0.25">
      <c r="C57" s="354"/>
    </row>
    <row r="58" spans="1:5" x14ac:dyDescent="0.25">
      <c r="C58" s="355"/>
    </row>
  </sheetData>
  <autoFilter ref="A5:F53" xr:uid="{00000000-0001-0000-0900-000000000000}"/>
  <dataValidations count="1">
    <dataValidation operator="lessThanOrEqual" allowBlank="1" showInputMessage="1" showErrorMessage="1" errorTitle="Should be negative number" error="Should be whole negative number or 0" sqref="C13:C53" xr:uid="{841AF6A0-8450-4006-A8A7-629EA69E9B4F}"/>
  </dataValidations>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840F-E24F-499C-AF1E-C26F9AD2179D}">
  <dimension ref="A1:H23"/>
  <sheetViews>
    <sheetView workbookViewId="0">
      <selection activeCell="C19" sqref="C19:D21"/>
    </sheetView>
  </sheetViews>
  <sheetFormatPr defaultColWidth="9.140625" defaultRowHeight="13.5" x14ac:dyDescent="0.25"/>
  <cols>
    <col min="1" max="1" width="10.85546875" style="22" bestFit="1" customWidth="1"/>
    <col min="2" max="2" width="59" style="22" customWidth="1"/>
    <col min="3" max="3" width="16.7109375" style="22" bestFit="1" customWidth="1"/>
    <col min="4" max="4" width="22.140625" style="22" customWidth="1"/>
    <col min="5" max="5" width="9.140625" style="22"/>
    <col min="6" max="6" width="9.140625" style="851"/>
    <col min="7" max="7" width="12.85546875" style="851" customWidth="1"/>
    <col min="8" max="8" width="9.140625" style="851"/>
    <col min="9" max="16384" width="9.140625" style="22"/>
  </cols>
  <sheetData>
    <row r="1" spans="1:8" ht="15" x14ac:dyDescent="0.3">
      <c r="A1" s="23" t="s">
        <v>41</v>
      </c>
      <c r="B1" s="25" t="str">
        <f>Info!C2</f>
        <v>სს სილქ ბანკი</v>
      </c>
    </row>
    <row r="2" spans="1:8" s="23" customFormat="1" ht="15.75" customHeight="1" x14ac:dyDescent="0.3">
      <c r="A2" s="23" t="s">
        <v>42</v>
      </c>
      <c r="B2" s="26">
        <f>'1. key ratios'!B2</f>
        <v>45382</v>
      </c>
      <c r="F2" s="855"/>
      <c r="G2" s="855"/>
      <c r="H2" s="855"/>
    </row>
    <row r="3" spans="1:8" s="23" customFormat="1" ht="15.75" customHeight="1" x14ac:dyDescent="0.3">
      <c r="F3" s="855"/>
      <c r="G3" s="855"/>
      <c r="H3" s="855"/>
    </row>
    <row r="4" spans="1:8" ht="40.5" customHeight="1" thickBot="1" x14ac:dyDescent="0.3">
      <c r="A4" s="22" t="s">
        <v>352</v>
      </c>
      <c r="B4" s="356" t="s">
        <v>22</v>
      </c>
    </row>
    <row r="5" spans="1:8" s="321" customFormat="1" x14ac:dyDescent="0.25">
      <c r="A5" s="357" t="s">
        <v>353</v>
      </c>
      <c r="B5" s="358"/>
      <c r="C5" s="359" t="s">
        <v>354</v>
      </c>
      <c r="D5" s="360" t="s">
        <v>355</v>
      </c>
      <c r="F5" s="856"/>
      <c r="G5" s="856"/>
      <c r="H5" s="856"/>
    </row>
    <row r="6" spans="1:8" s="364" customFormat="1" x14ac:dyDescent="0.25">
      <c r="A6" s="361">
        <v>1</v>
      </c>
      <c r="B6" s="362" t="s">
        <v>356</v>
      </c>
      <c r="C6" s="362"/>
      <c r="D6" s="363"/>
      <c r="F6" s="857"/>
      <c r="G6" s="858"/>
      <c r="H6" s="858"/>
    </row>
    <row r="7" spans="1:8" s="364" customFormat="1" x14ac:dyDescent="0.25">
      <c r="A7" s="365" t="s">
        <v>357</v>
      </c>
      <c r="B7" s="366" t="s">
        <v>358</v>
      </c>
      <c r="C7" s="367">
        <v>4.4999999999999998E-2</v>
      </c>
      <c r="D7" s="368">
        <f>C7*'5. RWA'!$C$13</f>
        <v>5703457.6487537622</v>
      </c>
      <c r="F7" s="859"/>
      <c r="G7" s="859"/>
      <c r="H7" s="858"/>
    </row>
    <row r="8" spans="1:8" s="364" customFormat="1" x14ac:dyDescent="0.25">
      <c r="A8" s="365" t="s">
        <v>359</v>
      </c>
      <c r="B8" s="366" t="s">
        <v>360</v>
      </c>
      <c r="C8" s="367">
        <v>0.06</v>
      </c>
      <c r="D8" s="368">
        <f>C8*'5. RWA'!$C$13</f>
        <v>7604610.1983383493</v>
      </c>
      <c r="F8" s="859"/>
      <c r="G8" s="859"/>
      <c r="H8" s="858"/>
    </row>
    <row r="9" spans="1:8" s="364" customFormat="1" x14ac:dyDescent="0.25">
      <c r="A9" s="365" t="s">
        <v>361</v>
      </c>
      <c r="B9" s="366" t="s">
        <v>362</v>
      </c>
      <c r="C9" s="367">
        <v>0.08</v>
      </c>
      <c r="D9" s="368">
        <f>C9*'5. RWA'!$C$13</f>
        <v>10139480.264451133</v>
      </c>
      <c r="F9" s="859"/>
      <c r="G9" s="859"/>
      <c r="H9" s="858"/>
    </row>
    <row r="10" spans="1:8" s="364" customFormat="1" x14ac:dyDescent="0.25">
      <c r="A10" s="361" t="s">
        <v>363</v>
      </c>
      <c r="B10" s="362" t="s">
        <v>364</v>
      </c>
      <c r="C10" s="369">
        <f>C11+C12+C13</f>
        <v>2.75E-2</v>
      </c>
      <c r="D10" s="369">
        <f>D11+D12+D13</f>
        <v>3485446.3409050773</v>
      </c>
      <c r="F10" s="857"/>
      <c r="G10" s="857"/>
      <c r="H10" s="858"/>
    </row>
    <row r="11" spans="1:8" s="374" customFormat="1" x14ac:dyDescent="0.25">
      <c r="A11" s="370" t="s">
        <v>365</v>
      </c>
      <c r="B11" s="371" t="s">
        <v>366</v>
      </c>
      <c r="C11" s="372">
        <v>2.5000000000000001E-2</v>
      </c>
      <c r="D11" s="373">
        <f>C11*'5. RWA'!$C$13</f>
        <v>3168587.5826409794</v>
      </c>
      <c r="F11" s="859"/>
      <c r="G11" s="859"/>
      <c r="H11" s="860"/>
    </row>
    <row r="12" spans="1:8" s="374" customFormat="1" x14ac:dyDescent="0.25">
      <c r="A12" s="370" t="s">
        <v>367</v>
      </c>
      <c r="B12" s="371" t="s">
        <v>368</v>
      </c>
      <c r="C12" s="372">
        <v>2.5000000000000001E-3</v>
      </c>
      <c r="D12" s="373">
        <f>C12*'5. RWA'!$C$13</f>
        <v>316858.75826409791</v>
      </c>
      <c r="F12" s="859"/>
      <c r="G12" s="859"/>
      <c r="H12" s="860"/>
    </row>
    <row r="13" spans="1:8" s="374" customFormat="1" x14ac:dyDescent="0.25">
      <c r="A13" s="370" t="s">
        <v>369</v>
      </c>
      <c r="B13" s="371" t="s">
        <v>370</v>
      </c>
      <c r="C13" s="372">
        <v>0</v>
      </c>
      <c r="D13" s="373">
        <f>C13*'5. RWA'!$C$13</f>
        <v>0</v>
      </c>
      <c r="F13" s="859"/>
      <c r="G13" s="859"/>
      <c r="H13" s="860"/>
    </row>
    <row r="14" spans="1:8" s="364" customFormat="1" x14ac:dyDescent="0.25">
      <c r="A14" s="361" t="s">
        <v>371</v>
      </c>
      <c r="B14" s="362" t="s">
        <v>372</v>
      </c>
      <c r="C14" s="375"/>
      <c r="D14" s="376"/>
      <c r="F14" s="857"/>
      <c r="G14" s="857"/>
      <c r="H14" s="858"/>
    </row>
    <row r="15" spans="1:8" s="364" customFormat="1" x14ac:dyDescent="0.25">
      <c r="A15" s="377" t="s">
        <v>373</v>
      </c>
      <c r="B15" s="371" t="s">
        <v>374</v>
      </c>
      <c r="C15" s="372">
        <v>9.6772163360785285E-2</v>
      </c>
      <c r="D15" s="373">
        <f>C15*'5. RWA'!$C$13</f>
        <v>12265243.006811542</v>
      </c>
      <c r="F15" s="859"/>
      <c r="G15" s="859"/>
      <c r="H15" s="858"/>
    </row>
    <row r="16" spans="1:8" s="364" customFormat="1" x14ac:dyDescent="0.25">
      <c r="A16" s="377" t="s">
        <v>375</v>
      </c>
      <c r="B16" s="371" t="s">
        <v>376</v>
      </c>
      <c r="C16" s="372">
        <v>0.11977675282465808</v>
      </c>
      <c r="D16" s="373">
        <f>C16*'5. RWA'!$C$13</f>
        <v>15180925.267570777</v>
      </c>
      <c r="F16" s="859"/>
      <c r="G16" s="859"/>
      <c r="H16" s="858"/>
    </row>
    <row r="17" spans="1:8" s="364" customFormat="1" x14ac:dyDescent="0.25">
      <c r="A17" s="377" t="s">
        <v>377</v>
      </c>
      <c r="B17" s="371" t="s">
        <v>378</v>
      </c>
      <c r="C17" s="372">
        <v>0.15004594948764857</v>
      </c>
      <c r="D17" s="373">
        <f>C17*'5. RWA'!$C$13</f>
        <v>19017349.294885553</v>
      </c>
      <c r="F17" s="859"/>
      <c r="G17" s="859"/>
      <c r="H17" s="858"/>
    </row>
    <row r="18" spans="1:8" s="321" customFormat="1" x14ac:dyDescent="0.25">
      <c r="A18" s="378" t="s">
        <v>379</v>
      </c>
      <c r="B18" s="379"/>
      <c r="C18" s="380" t="s">
        <v>354</v>
      </c>
      <c r="D18" s="381" t="s">
        <v>355</v>
      </c>
      <c r="F18" s="861"/>
      <c r="G18" s="861"/>
      <c r="H18" s="856"/>
    </row>
    <row r="19" spans="1:8" s="364" customFormat="1" x14ac:dyDescent="0.25">
      <c r="A19" s="382">
        <v>4</v>
      </c>
      <c r="B19" s="371" t="s">
        <v>53</v>
      </c>
      <c r="C19" s="372">
        <f>C7+C11+C12+C13+C15</f>
        <v>0.16927216336078529</v>
      </c>
      <c r="D19" s="368">
        <f>C19*'5. RWA'!$C$13</f>
        <v>21454146.996470384</v>
      </c>
      <c r="F19" s="859"/>
      <c r="G19" s="859"/>
      <c r="H19" s="858"/>
    </row>
    <row r="20" spans="1:8" s="364" customFormat="1" x14ac:dyDescent="0.25">
      <c r="A20" s="382">
        <v>5</v>
      </c>
      <c r="B20" s="371" t="s">
        <v>54</v>
      </c>
      <c r="C20" s="372">
        <f>C8+C11+C12+C13+C16</f>
        <v>0.20727675282465807</v>
      </c>
      <c r="D20" s="368">
        <f>C20*'5. RWA'!$C$13</f>
        <v>26270981.806814201</v>
      </c>
      <c r="F20" s="859"/>
      <c r="G20" s="859"/>
      <c r="H20" s="858"/>
    </row>
    <row r="21" spans="1:8" s="364" customFormat="1" ht="14.25" thickBot="1" x14ac:dyDescent="0.3">
      <c r="A21" s="383" t="s">
        <v>380</v>
      </c>
      <c r="B21" s="384" t="s">
        <v>20</v>
      </c>
      <c r="C21" s="385">
        <f>C9+C11+C12+C13+C17</f>
        <v>0.25754594948764858</v>
      </c>
      <c r="D21" s="386">
        <f>C21*'5. RWA'!$C$13</f>
        <v>32642275.900241766</v>
      </c>
      <c r="F21" s="859"/>
      <c r="G21" s="859"/>
      <c r="H21" s="858"/>
    </row>
    <row r="22" spans="1:8" x14ac:dyDescent="0.25">
      <c r="B22" s="243"/>
    </row>
    <row r="23" spans="1:8" ht="67.5" x14ac:dyDescent="0.25">
      <c r="B23" s="128" t="s">
        <v>381</v>
      </c>
    </row>
  </sheetData>
  <mergeCells count="2">
    <mergeCell ref="A5:B5"/>
    <mergeCell ref="A18:B18"/>
  </mergeCells>
  <conditionalFormatting sqref="C21">
    <cfRule type="cellIs" dxfId="22"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6E8C-5268-477C-9340-D08E04B2034F}">
  <dimension ref="A1:G72"/>
  <sheetViews>
    <sheetView zoomScaleNormal="100" workbookViewId="0">
      <pane xSplit="1" ySplit="5" topLeftCell="B39" activePane="bottomRight" state="frozen"/>
      <selection activeCell="D46" sqref="D46"/>
      <selection pane="topRight" activeCell="D46" sqref="D46"/>
      <selection pane="bottomLeft" activeCell="D46" sqref="D46"/>
      <selection pane="bottomRight" activeCell="C6" sqref="C6:C69"/>
    </sheetView>
  </sheetViews>
  <sheetFormatPr defaultRowHeight="15.75" x14ac:dyDescent="0.3"/>
  <cols>
    <col min="1" max="1" width="10.7109375" style="387" customWidth="1"/>
    <col min="2" max="2" width="91.85546875" style="387" customWidth="1"/>
    <col min="3" max="3" width="53.140625" style="387" customWidth="1"/>
    <col min="4" max="4" width="32.28515625" style="387" customWidth="1"/>
    <col min="5" max="5" width="9.42578125" customWidth="1"/>
    <col min="6" max="6" width="14.42578125" style="862" customWidth="1"/>
    <col min="7" max="7" width="62.140625" style="862" customWidth="1"/>
  </cols>
  <sheetData>
    <row r="1" spans="1:7" x14ac:dyDescent="0.3">
      <c r="A1" s="23" t="s">
        <v>41</v>
      </c>
      <c r="B1" s="127" t="str">
        <f>Info!C2</f>
        <v>სს სილქ ბანკი</v>
      </c>
      <c r="E1" s="22"/>
      <c r="F1" s="851"/>
    </row>
    <row r="2" spans="1:7" s="23" customFormat="1" ht="15.75" customHeight="1" x14ac:dyDescent="0.3">
      <c r="A2" s="23" t="s">
        <v>42</v>
      </c>
      <c r="B2" s="26">
        <f>'1. key ratios'!B2</f>
        <v>45382</v>
      </c>
      <c r="F2" s="855"/>
      <c r="G2" s="855"/>
    </row>
    <row r="3" spans="1:7" s="23" customFormat="1" ht="15.75" customHeight="1" x14ac:dyDescent="0.3">
      <c r="A3" s="388"/>
      <c r="F3" s="855"/>
      <c r="G3" s="855"/>
    </row>
    <row r="4" spans="1:7" s="23" customFormat="1" ht="40.5" customHeight="1" thickBot="1" x14ac:dyDescent="0.35">
      <c r="A4" s="23" t="s">
        <v>382</v>
      </c>
      <c r="B4" s="389" t="s">
        <v>23</v>
      </c>
      <c r="D4" s="390" t="s">
        <v>238</v>
      </c>
      <c r="F4" s="855"/>
      <c r="G4" s="855"/>
    </row>
    <row r="5" spans="1:7" ht="27" x14ac:dyDescent="0.25">
      <c r="A5" s="391" t="s">
        <v>46</v>
      </c>
      <c r="B5" s="392" t="s">
        <v>291</v>
      </c>
      <c r="C5" s="393" t="s">
        <v>383</v>
      </c>
      <c r="D5" s="394" t="s">
        <v>384</v>
      </c>
    </row>
    <row r="6" spans="1:7" x14ac:dyDescent="0.3">
      <c r="A6" s="143">
        <v>1</v>
      </c>
      <c r="B6" s="144" t="s">
        <v>98</v>
      </c>
      <c r="C6" s="395">
        <f>SUM(C7:C9)</f>
        <v>56873900.570488527</v>
      </c>
      <c r="D6" s="396"/>
      <c r="E6" s="397"/>
    </row>
    <row r="7" spans="1:7" x14ac:dyDescent="0.3">
      <c r="A7" s="143">
        <v>1.1000000000000001</v>
      </c>
      <c r="B7" s="147" t="s">
        <v>99</v>
      </c>
      <c r="C7" s="398">
        <f>'7. LI1'!E9</f>
        <v>3465527.6399999983</v>
      </c>
      <c r="D7" s="399"/>
      <c r="E7" s="397"/>
    </row>
    <row r="8" spans="1:7" x14ac:dyDescent="0.3">
      <c r="A8" s="143">
        <v>1.2</v>
      </c>
      <c r="B8" s="147" t="s">
        <v>100</v>
      </c>
      <c r="C8" s="398">
        <f>'7. LI1'!E10</f>
        <v>3498499.9600000288</v>
      </c>
      <c r="D8" s="399"/>
      <c r="E8" s="397"/>
    </row>
    <row r="9" spans="1:7" x14ac:dyDescent="0.3">
      <c r="A9" s="143">
        <v>1.3</v>
      </c>
      <c r="B9" s="147" t="s">
        <v>101</v>
      </c>
      <c r="C9" s="398">
        <f>'7. LI1'!E11</f>
        <v>49909872.970488496</v>
      </c>
      <c r="D9" s="399"/>
      <c r="E9" s="397"/>
    </row>
    <row r="10" spans="1:7" x14ac:dyDescent="0.3">
      <c r="A10" s="143">
        <v>2</v>
      </c>
      <c r="B10" s="149" t="s">
        <v>102</v>
      </c>
      <c r="C10" s="398">
        <f>'7. LI1'!E12</f>
        <v>270098.68790341541</v>
      </c>
      <c r="D10" s="399"/>
      <c r="E10" s="397"/>
    </row>
    <row r="11" spans="1:7" x14ac:dyDescent="0.3">
      <c r="A11" s="143">
        <v>2.1</v>
      </c>
      <c r="B11" s="150" t="s">
        <v>103</v>
      </c>
      <c r="C11" s="398">
        <f>'7. LI1'!E13</f>
        <v>270098.68790341541</v>
      </c>
      <c r="D11" s="400"/>
      <c r="E11" s="401"/>
    </row>
    <row r="12" spans="1:7" ht="23.45" customHeight="1" x14ac:dyDescent="0.3">
      <c r="A12" s="143">
        <v>3</v>
      </c>
      <c r="B12" s="151" t="s">
        <v>104</v>
      </c>
      <c r="C12" s="398">
        <f>'7. LI1'!E14</f>
        <v>0</v>
      </c>
      <c r="D12" s="400"/>
      <c r="E12" s="401"/>
    </row>
    <row r="13" spans="1:7" ht="23.1" customHeight="1" x14ac:dyDescent="0.3">
      <c r="A13" s="143">
        <v>4</v>
      </c>
      <c r="B13" s="152" t="s">
        <v>105</v>
      </c>
      <c r="C13" s="398">
        <f>'7. LI1'!E15</f>
        <v>0</v>
      </c>
      <c r="D13" s="400"/>
      <c r="E13" s="401"/>
    </row>
    <row r="14" spans="1:7" x14ac:dyDescent="0.3">
      <c r="A14" s="143">
        <v>5</v>
      </c>
      <c r="B14" s="152" t="s">
        <v>106</v>
      </c>
      <c r="C14" s="402">
        <f>SUM(C15:C17)</f>
        <v>20000</v>
      </c>
      <c r="D14" s="400"/>
      <c r="E14" s="401"/>
    </row>
    <row r="15" spans="1:7" x14ac:dyDescent="0.3">
      <c r="A15" s="143">
        <v>5.0999999999999996</v>
      </c>
      <c r="B15" s="155" t="s">
        <v>107</v>
      </c>
      <c r="C15" s="398">
        <f>'7. LI1'!E17</f>
        <v>20000</v>
      </c>
      <c r="D15" s="400"/>
      <c r="E15" s="397"/>
    </row>
    <row r="16" spans="1:7" x14ac:dyDescent="0.3">
      <c r="A16" s="143">
        <v>5.2</v>
      </c>
      <c r="B16" s="155" t="s">
        <v>108</v>
      </c>
      <c r="C16" s="398">
        <f>'7. LI1'!E18</f>
        <v>0</v>
      </c>
      <c r="D16" s="399"/>
      <c r="E16" s="397"/>
    </row>
    <row r="17" spans="1:6" x14ac:dyDescent="0.3">
      <c r="A17" s="143">
        <v>5.3</v>
      </c>
      <c r="B17" s="155" t="s">
        <v>109</v>
      </c>
      <c r="C17" s="398">
        <f>'7. LI1'!E19</f>
        <v>0</v>
      </c>
      <c r="D17" s="399"/>
      <c r="E17" s="397"/>
    </row>
    <row r="18" spans="1:6" x14ac:dyDescent="0.3">
      <c r="A18" s="143">
        <v>6</v>
      </c>
      <c r="B18" s="151" t="s">
        <v>110</v>
      </c>
      <c r="C18" s="403">
        <f>SUM(C19:C20)</f>
        <v>96299605.073607609</v>
      </c>
      <c r="D18" s="399"/>
      <c r="E18" s="397"/>
    </row>
    <row r="19" spans="1:6" x14ac:dyDescent="0.3">
      <c r="A19" s="143">
        <v>6.1</v>
      </c>
      <c r="B19" s="155" t="s">
        <v>108</v>
      </c>
      <c r="C19" s="404">
        <f>'7. LI1'!C21</f>
        <v>26576690.288565051</v>
      </c>
      <c r="D19" s="399"/>
      <c r="E19" s="397"/>
    </row>
    <row r="20" spans="1:6" x14ac:dyDescent="0.3">
      <c r="A20" s="143">
        <v>6.2</v>
      </c>
      <c r="B20" s="155" t="s">
        <v>109</v>
      </c>
      <c r="C20" s="404">
        <f>'7. LI1'!C22</f>
        <v>69722914.785042554</v>
      </c>
      <c r="D20" s="399"/>
      <c r="E20" s="397"/>
    </row>
    <row r="21" spans="1:6" x14ac:dyDescent="0.3">
      <c r="A21" s="143">
        <v>7</v>
      </c>
      <c r="B21" s="166" t="s">
        <v>111</v>
      </c>
      <c r="C21" s="402"/>
      <c r="D21" s="399"/>
      <c r="E21" s="397"/>
    </row>
    <row r="22" spans="1:6" x14ac:dyDescent="0.3">
      <c r="A22" s="143">
        <v>8</v>
      </c>
      <c r="B22" s="405" t="s">
        <v>112</v>
      </c>
      <c r="C22" s="403">
        <f>'7. LI1'!E24</f>
        <v>3415583.8600753136</v>
      </c>
      <c r="D22" s="399"/>
      <c r="E22" s="397"/>
    </row>
    <row r="23" spans="1:6" x14ac:dyDescent="0.3">
      <c r="A23" s="143">
        <v>9</v>
      </c>
      <c r="B23" s="152" t="s">
        <v>113</v>
      </c>
      <c r="C23" s="403">
        <f>SUM(C24:C25)</f>
        <v>17187770.360000003</v>
      </c>
      <c r="D23" s="406"/>
      <c r="E23" s="397"/>
    </row>
    <row r="24" spans="1:6" x14ac:dyDescent="0.3">
      <c r="A24" s="143">
        <v>9.1</v>
      </c>
      <c r="B24" s="158" t="s">
        <v>114</v>
      </c>
      <c r="C24" s="407">
        <f>'7. LI1'!E26</f>
        <v>17187770.360000003</v>
      </c>
      <c r="D24" s="408"/>
      <c r="E24" s="397"/>
    </row>
    <row r="25" spans="1:6" x14ac:dyDescent="0.3">
      <c r="A25" s="143">
        <v>9.1999999999999993</v>
      </c>
      <c r="B25" s="158" t="s">
        <v>115</v>
      </c>
      <c r="C25" s="407">
        <f>'7. LI1'!E27</f>
        <v>0</v>
      </c>
      <c r="D25" s="409"/>
      <c r="E25" s="410"/>
    </row>
    <row r="26" spans="1:6" x14ac:dyDescent="0.3">
      <c r="A26" s="143">
        <v>10</v>
      </c>
      <c r="B26" s="152" t="s">
        <v>116</v>
      </c>
      <c r="C26" s="411">
        <f>SUM(C27:C28)</f>
        <v>1230937.5900000008</v>
      </c>
      <c r="D26" s="412" t="s">
        <v>385</v>
      </c>
      <c r="E26" s="397"/>
      <c r="F26" s="848"/>
    </row>
    <row r="27" spans="1:6" x14ac:dyDescent="0.3">
      <c r="A27" s="143">
        <v>10.1</v>
      </c>
      <c r="B27" s="158" t="s">
        <v>117</v>
      </c>
      <c r="C27" s="398">
        <f>'7. LI1'!C29</f>
        <v>0</v>
      </c>
      <c r="D27" s="399"/>
      <c r="E27" s="397"/>
    </row>
    <row r="28" spans="1:6" x14ac:dyDescent="0.3">
      <c r="A28" s="143">
        <v>10.199999999999999</v>
      </c>
      <c r="B28" s="158" t="s">
        <v>118</v>
      </c>
      <c r="C28" s="398">
        <f>'7. LI1'!C30</f>
        <v>1230937.5900000008</v>
      </c>
      <c r="D28" s="399"/>
      <c r="E28" s="397"/>
    </row>
    <row r="29" spans="1:6" x14ac:dyDescent="0.3">
      <c r="A29" s="143">
        <v>11</v>
      </c>
      <c r="B29" s="152" t="s">
        <v>119</v>
      </c>
      <c r="C29" s="403">
        <f>SUM(C30:C31)</f>
        <v>45248.5</v>
      </c>
      <c r="D29" s="399"/>
      <c r="E29" s="397"/>
    </row>
    <row r="30" spans="1:6" x14ac:dyDescent="0.3">
      <c r="A30" s="143">
        <v>11.1</v>
      </c>
      <c r="B30" s="158" t="s">
        <v>120</v>
      </c>
      <c r="C30" s="398">
        <f>'7. LI1'!C32</f>
        <v>45248.5</v>
      </c>
      <c r="D30" s="399"/>
      <c r="E30" s="397"/>
    </row>
    <row r="31" spans="1:6" x14ac:dyDescent="0.3">
      <c r="A31" s="143">
        <v>11.2</v>
      </c>
      <c r="B31" s="158" t="s">
        <v>121</v>
      </c>
      <c r="C31" s="398">
        <f>'7. LI1'!C33</f>
        <v>0</v>
      </c>
      <c r="D31" s="399"/>
      <c r="E31" s="397"/>
    </row>
    <row r="32" spans="1:6" x14ac:dyDescent="0.3">
      <c r="A32" s="143">
        <v>13</v>
      </c>
      <c r="B32" s="152" t="s">
        <v>122</v>
      </c>
      <c r="C32" s="398">
        <f>'7. LI1'!C34</f>
        <v>5139954.82</v>
      </c>
      <c r="D32" s="399"/>
      <c r="E32" s="397"/>
    </row>
    <row r="33" spans="1:5" x14ac:dyDescent="0.3">
      <c r="A33" s="143">
        <v>13.1</v>
      </c>
      <c r="B33" s="159" t="s">
        <v>123</v>
      </c>
      <c r="C33" s="398">
        <f>'7. LI1'!C35</f>
        <v>0</v>
      </c>
      <c r="D33" s="399"/>
      <c r="E33" s="397"/>
    </row>
    <row r="34" spans="1:5" x14ac:dyDescent="0.3">
      <c r="A34" s="143">
        <v>13.2</v>
      </c>
      <c r="B34" s="159" t="s">
        <v>124</v>
      </c>
      <c r="C34" s="398">
        <f>'7. LI1'!C36</f>
        <v>0</v>
      </c>
      <c r="D34" s="408"/>
      <c r="E34" s="397"/>
    </row>
    <row r="35" spans="1:5" x14ac:dyDescent="0.3">
      <c r="A35" s="143">
        <v>14</v>
      </c>
      <c r="B35" s="160" t="s">
        <v>125</v>
      </c>
      <c r="C35" s="413">
        <f>SUM(C6,C10,C12,C13,C14,C18,C21,C22,C23,C26,C29,C32)</f>
        <v>180483099.46207488</v>
      </c>
      <c r="D35" s="408"/>
      <c r="E35" s="397"/>
    </row>
    <row r="36" spans="1:5" x14ac:dyDescent="0.3">
      <c r="A36" s="143"/>
      <c r="B36" s="161" t="s">
        <v>126</v>
      </c>
      <c r="C36" s="414"/>
      <c r="D36" s="415"/>
      <c r="E36" s="397"/>
    </row>
    <row r="37" spans="1:5" x14ac:dyDescent="0.3">
      <c r="A37" s="143">
        <v>15</v>
      </c>
      <c r="B37" s="165" t="s">
        <v>127</v>
      </c>
      <c r="C37" s="416">
        <f>'2. SOFP'!E38</f>
        <v>2155</v>
      </c>
      <c r="D37" s="409"/>
      <c r="E37" s="410"/>
    </row>
    <row r="38" spans="1:5" x14ac:dyDescent="0.3">
      <c r="A38" s="143">
        <v>15.1</v>
      </c>
      <c r="B38" s="150" t="s">
        <v>103</v>
      </c>
      <c r="C38" s="416">
        <f>'2. SOFP'!E39</f>
        <v>2155</v>
      </c>
      <c r="D38" s="399"/>
      <c r="E38" s="397"/>
    </row>
    <row r="39" spans="1:5" ht="21" x14ac:dyDescent="0.3">
      <c r="A39" s="143">
        <v>16</v>
      </c>
      <c r="B39" s="166" t="s">
        <v>128</v>
      </c>
      <c r="C39" s="416">
        <f>'2. SOFP'!E40</f>
        <v>0</v>
      </c>
      <c r="D39" s="399"/>
      <c r="E39" s="397"/>
    </row>
    <row r="40" spans="1:5" x14ac:dyDescent="0.3">
      <c r="A40" s="143">
        <v>17</v>
      </c>
      <c r="B40" s="166" t="s">
        <v>129</v>
      </c>
      <c r="C40" s="403">
        <f>SUM(C41:C44)</f>
        <v>115206950.09434617</v>
      </c>
      <c r="D40" s="399"/>
      <c r="E40" s="397"/>
    </row>
    <row r="41" spans="1:5" x14ac:dyDescent="0.3">
      <c r="A41" s="143">
        <v>17.100000000000001</v>
      </c>
      <c r="B41" s="168" t="s">
        <v>130</v>
      </c>
      <c r="C41" s="398">
        <f>'2. SOFP'!E42</f>
        <v>113851261.65434617</v>
      </c>
      <c r="D41" s="399"/>
      <c r="E41" s="397"/>
    </row>
    <row r="42" spans="1:5" x14ac:dyDescent="0.3">
      <c r="A42" s="417">
        <v>17.2</v>
      </c>
      <c r="B42" s="418" t="s">
        <v>131</v>
      </c>
      <c r="C42" s="398">
        <f>'2. SOFP'!E43</f>
        <v>0</v>
      </c>
      <c r="D42" s="408"/>
      <c r="E42" s="397"/>
    </row>
    <row r="43" spans="1:5" x14ac:dyDescent="0.3">
      <c r="A43" s="143">
        <v>17.3</v>
      </c>
      <c r="B43" s="419" t="s">
        <v>132</v>
      </c>
      <c r="C43" s="398">
        <f>'2. SOFP'!E44</f>
        <v>0</v>
      </c>
      <c r="D43" s="420"/>
      <c r="E43" s="397"/>
    </row>
    <row r="44" spans="1:5" x14ac:dyDescent="0.3">
      <c r="A44" s="143">
        <v>17.399999999999999</v>
      </c>
      <c r="B44" s="419" t="s">
        <v>133</v>
      </c>
      <c r="C44" s="398">
        <f>'2. SOFP'!E45</f>
        <v>1355688.44</v>
      </c>
      <c r="D44" s="420"/>
      <c r="E44" s="397"/>
    </row>
    <row r="45" spans="1:5" x14ac:dyDescent="0.3">
      <c r="A45" s="143">
        <v>18</v>
      </c>
      <c r="B45" s="172" t="s">
        <v>134</v>
      </c>
      <c r="C45" s="398">
        <f>'2. SOFP'!E46</f>
        <v>50635.06929971269</v>
      </c>
      <c r="D45" s="420"/>
      <c r="E45" s="410"/>
    </row>
    <row r="46" spans="1:5" x14ac:dyDescent="0.3">
      <c r="A46" s="143">
        <v>19</v>
      </c>
      <c r="B46" s="172" t="s">
        <v>135</v>
      </c>
      <c r="C46" s="421">
        <f>SUM(C47:C48)</f>
        <v>1157682.7731685017</v>
      </c>
      <c r="D46" s="3"/>
    </row>
    <row r="47" spans="1:5" x14ac:dyDescent="0.3">
      <c r="A47" s="143">
        <v>19.100000000000001</v>
      </c>
      <c r="B47" s="422" t="s">
        <v>136</v>
      </c>
      <c r="C47" s="423">
        <f>'2. SOFP'!E48</f>
        <v>0</v>
      </c>
      <c r="D47" s="3"/>
    </row>
    <row r="48" spans="1:5" x14ac:dyDescent="0.3">
      <c r="A48" s="143">
        <v>19.2</v>
      </c>
      <c r="B48" s="422" t="s">
        <v>137</v>
      </c>
      <c r="C48" s="423">
        <f>'2. SOFP'!E49</f>
        <v>1157682.7731685017</v>
      </c>
      <c r="D48" s="3"/>
    </row>
    <row r="49" spans="1:6" x14ac:dyDescent="0.3">
      <c r="A49" s="143">
        <v>20</v>
      </c>
      <c r="B49" s="160" t="s">
        <v>138</v>
      </c>
      <c r="C49" s="424">
        <f>'2. SOFP'!E50</f>
        <v>3432022.03</v>
      </c>
      <c r="D49" s="3"/>
      <c r="F49" s="863"/>
    </row>
    <row r="50" spans="1:6" x14ac:dyDescent="0.3">
      <c r="A50" s="143">
        <v>20.100000000000001</v>
      </c>
      <c r="B50" s="160" t="s">
        <v>386</v>
      </c>
      <c r="C50" s="424">
        <v>3306250</v>
      </c>
      <c r="D50" s="412" t="s">
        <v>387</v>
      </c>
      <c r="F50" s="863"/>
    </row>
    <row r="51" spans="1:6" x14ac:dyDescent="0.3">
      <c r="A51" s="143">
        <v>21</v>
      </c>
      <c r="B51" s="149" t="s">
        <v>139</v>
      </c>
      <c r="C51" s="423">
        <f>'2. SOFP'!E51</f>
        <v>2822832.5700000008</v>
      </c>
      <c r="D51" s="3"/>
    </row>
    <row r="52" spans="1:6" x14ac:dyDescent="0.3">
      <c r="A52" s="143">
        <v>21.1</v>
      </c>
      <c r="B52" s="147" t="s">
        <v>140</v>
      </c>
      <c r="C52" s="423">
        <f>'2. SOFP'!E52</f>
        <v>0</v>
      </c>
      <c r="D52" s="3"/>
    </row>
    <row r="53" spans="1:6" x14ac:dyDescent="0.3">
      <c r="A53" s="143">
        <v>22</v>
      </c>
      <c r="B53" s="160" t="s">
        <v>141</v>
      </c>
      <c r="C53" s="421">
        <f>SUM(C37,C39,C40,C45,C46,C49,C51)</f>
        <v>122672277.53681439</v>
      </c>
      <c r="D53" s="3"/>
    </row>
    <row r="54" spans="1:6" x14ac:dyDescent="0.3">
      <c r="A54" s="143"/>
      <c r="B54" s="161" t="s">
        <v>142</v>
      </c>
      <c r="C54" s="3"/>
      <c r="D54" s="3"/>
    </row>
    <row r="55" spans="1:6" x14ac:dyDescent="0.3">
      <c r="A55" s="143">
        <v>23</v>
      </c>
      <c r="B55" s="160" t="s">
        <v>143</v>
      </c>
      <c r="C55" s="425">
        <f>'2. SOFP'!E55</f>
        <v>72746400</v>
      </c>
      <c r="D55" s="3"/>
    </row>
    <row r="56" spans="1:6" x14ac:dyDescent="0.3">
      <c r="A56" s="143">
        <v>24</v>
      </c>
      <c r="B56" s="160" t="s">
        <v>144</v>
      </c>
      <c r="C56" s="425">
        <f>'2. SOFP'!E56</f>
        <v>0</v>
      </c>
      <c r="D56" s="3"/>
    </row>
    <row r="57" spans="1:6" x14ac:dyDescent="0.3">
      <c r="A57" s="143">
        <v>25</v>
      </c>
      <c r="B57" s="160" t="s">
        <v>145</v>
      </c>
      <c r="C57" s="425">
        <f>'2. SOFP'!E57</f>
        <v>0</v>
      </c>
      <c r="D57" s="3"/>
    </row>
    <row r="58" spans="1:6" x14ac:dyDescent="0.3">
      <c r="A58" s="143">
        <v>26</v>
      </c>
      <c r="B58" s="172" t="s">
        <v>146</v>
      </c>
      <c r="C58" s="425">
        <f>'2. SOFP'!E58</f>
        <v>0</v>
      </c>
      <c r="D58" s="3"/>
    </row>
    <row r="59" spans="1:6" x14ac:dyDescent="0.3">
      <c r="A59" s="143">
        <v>27</v>
      </c>
      <c r="B59" s="172" t="s">
        <v>147</v>
      </c>
      <c r="C59" s="425">
        <f>SUM(C60:C61)</f>
        <v>0</v>
      </c>
      <c r="D59" s="3"/>
    </row>
    <row r="60" spans="1:6" x14ac:dyDescent="0.3">
      <c r="A60" s="143">
        <v>27.1</v>
      </c>
      <c r="B60" s="422" t="s">
        <v>148</v>
      </c>
      <c r="C60" s="426">
        <f>'2. SOFP'!E60</f>
        <v>0</v>
      </c>
      <c r="D60" s="3"/>
    </row>
    <row r="61" spans="1:6" x14ac:dyDescent="0.3">
      <c r="A61" s="143">
        <v>27.2</v>
      </c>
      <c r="B61" s="419" t="s">
        <v>149</v>
      </c>
      <c r="C61" s="426">
        <f>'2. SOFP'!E61</f>
        <v>0</v>
      </c>
      <c r="D61" s="3"/>
    </row>
    <row r="62" spans="1:6" x14ac:dyDescent="0.3">
      <c r="A62" s="143">
        <v>28</v>
      </c>
      <c r="B62" s="149" t="s">
        <v>150</v>
      </c>
      <c r="C62" s="426">
        <f>'2. SOFP'!E62</f>
        <v>0</v>
      </c>
      <c r="D62" s="3"/>
    </row>
    <row r="63" spans="1:6" x14ac:dyDescent="0.3">
      <c r="A63" s="143">
        <v>29</v>
      </c>
      <c r="B63" s="172" t="s">
        <v>151</v>
      </c>
      <c r="C63" s="425">
        <f>SUM(C64:C66)</f>
        <v>3615196.900470661</v>
      </c>
      <c r="D63" s="3"/>
    </row>
    <row r="64" spans="1:6" x14ac:dyDescent="0.3">
      <c r="A64" s="143">
        <v>29.1</v>
      </c>
      <c r="B64" s="427" t="s">
        <v>152</v>
      </c>
      <c r="C64" s="426">
        <f>'2. SOFP'!E64</f>
        <v>3615196.900470661</v>
      </c>
      <c r="D64" s="3"/>
    </row>
    <row r="65" spans="1:4" ht="24" customHeight="1" x14ac:dyDescent="0.3">
      <c r="A65" s="143">
        <v>29.2</v>
      </c>
      <c r="B65" s="422" t="s">
        <v>153</v>
      </c>
      <c r="C65" s="426">
        <f>'2. SOFP'!E65</f>
        <v>0</v>
      </c>
      <c r="D65" s="3"/>
    </row>
    <row r="66" spans="1:4" ht="21.95" customHeight="1" x14ac:dyDescent="0.3">
      <c r="A66" s="143">
        <v>29.3</v>
      </c>
      <c r="B66" s="428" t="s">
        <v>154</v>
      </c>
      <c r="C66" s="426">
        <f>'2. SOFP'!E66</f>
        <v>0</v>
      </c>
      <c r="D66" s="3"/>
    </row>
    <row r="67" spans="1:4" x14ac:dyDescent="0.3">
      <c r="A67" s="143">
        <v>30</v>
      </c>
      <c r="B67" s="172" t="s">
        <v>155</v>
      </c>
      <c r="C67" s="426">
        <f>'2. SOFP'!E67</f>
        <v>-18550775.219210185</v>
      </c>
      <c r="D67" s="3"/>
    </row>
    <row r="68" spans="1:4" x14ac:dyDescent="0.3">
      <c r="A68" s="143">
        <v>31</v>
      </c>
      <c r="B68" s="171" t="s">
        <v>156</v>
      </c>
      <c r="C68" s="425">
        <f>SUM(C55,C56,C57,C58,C59,C62,C63,C67)</f>
        <v>57810821.681260474</v>
      </c>
      <c r="D68" s="3"/>
    </row>
    <row r="69" spans="1:4" x14ac:dyDescent="0.3">
      <c r="A69" s="143">
        <v>32</v>
      </c>
      <c r="B69" s="172" t="s">
        <v>157</v>
      </c>
      <c r="C69" s="425">
        <f>SUM(C53,C68)</f>
        <v>180483099.21807486</v>
      </c>
      <c r="D69" s="3"/>
    </row>
    <row r="70" spans="1:4" x14ac:dyDescent="0.3">
      <c r="C70" s="429"/>
    </row>
    <row r="71" spans="1:4" x14ac:dyDescent="0.3">
      <c r="C71" s="430"/>
    </row>
    <row r="72" spans="1:4" x14ac:dyDescent="0.3">
      <c r="C72" s="430"/>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1EBD-D3B0-43AD-AB0C-18B33AA60201}">
  <dimension ref="A1:S28"/>
  <sheetViews>
    <sheetView workbookViewId="0">
      <pane xSplit="2" ySplit="7" topLeftCell="C8" activePane="bottomRight" state="frozen"/>
      <selection activeCell="D46" sqref="D46"/>
      <selection pane="topRight" activeCell="D46" sqref="D46"/>
      <selection pane="bottomLeft" activeCell="D46" sqref="D46"/>
      <selection pane="bottomRight" activeCell="S8" sqref="C8:S22"/>
    </sheetView>
  </sheetViews>
  <sheetFormatPr defaultColWidth="9.140625" defaultRowHeight="13.5" x14ac:dyDescent="0.25"/>
  <cols>
    <col min="1" max="1" width="10.5703125" style="22" bestFit="1" customWidth="1"/>
    <col min="2" max="2" width="95" style="22" customWidth="1"/>
    <col min="3" max="3" width="13.85546875" style="22" customWidth="1"/>
    <col min="4" max="4" width="13.28515625" style="22" bestFit="1" customWidth="1"/>
    <col min="5" max="5" width="14" style="22" customWidth="1"/>
    <col min="6" max="6" width="13.28515625" style="22" bestFit="1" customWidth="1"/>
    <col min="7" max="7" width="62.140625" style="22" customWidth="1"/>
    <col min="8" max="8" width="13.28515625" style="22" bestFit="1" customWidth="1"/>
    <col min="9" max="9" width="12.42578125" style="22" customWidth="1"/>
    <col min="10" max="10" width="13.28515625" style="22" bestFit="1" customWidth="1"/>
    <col min="11" max="11" width="11.5703125" style="22" customWidth="1"/>
    <col min="12" max="12" width="13.28515625" style="22" bestFit="1" customWidth="1"/>
    <col min="13" max="13" width="13.42578125" style="22" customWidth="1"/>
    <col min="14" max="14" width="13.28515625" style="22" bestFit="1" customWidth="1"/>
    <col min="15" max="15" width="14" style="22" customWidth="1"/>
    <col min="16" max="16" width="13.28515625" style="22" bestFit="1" customWidth="1"/>
    <col min="17" max="17" width="13" style="22" customWidth="1"/>
    <col min="18" max="18" width="14" style="22" customWidth="1"/>
    <col min="19" max="19" width="31.5703125" style="22" bestFit="1" customWidth="1"/>
    <col min="20" max="16384" width="9.140625" style="219"/>
  </cols>
  <sheetData>
    <row r="1" spans="1:19" x14ac:dyDescent="0.25">
      <c r="A1" s="22" t="s">
        <v>41</v>
      </c>
      <c r="B1" s="22" t="str">
        <f>Info!C2</f>
        <v>სს სილქ ბანკი</v>
      </c>
    </row>
    <row r="2" spans="1:19" x14ac:dyDescent="0.25">
      <c r="A2" s="22" t="s">
        <v>42</v>
      </c>
      <c r="B2" s="26">
        <f>'1. key ratios'!B2</f>
        <v>45382</v>
      </c>
    </row>
    <row r="4" spans="1:19" ht="40.5" customHeight="1" thickBot="1" x14ac:dyDescent="0.3">
      <c r="A4" s="321" t="s">
        <v>388</v>
      </c>
      <c r="B4" s="431" t="s">
        <v>389</v>
      </c>
    </row>
    <row r="5" spans="1:19" x14ac:dyDescent="0.25">
      <c r="A5" s="432"/>
      <c r="B5" s="433"/>
      <c r="C5" s="434" t="s">
        <v>288</v>
      </c>
      <c r="D5" s="434" t="s">
        <v>289</v>
      </c>
      <c r="E5" s="434" t="s">
        <v>290</v>
      </c>
      <c r="F5" s="434" t="s">
        <v>390</v>
      </c>
      <c r="G5" s="434" t="s">
        <v>391</v>
      </c>
      <c r="H5" s="434" t="s">
        <v>392</v>
      </c>
      <c r="I5" s="434" t="s">
        <v>393</v>
      </c>
      <c r="J5" s="434" t="s">
        <v>394</v>
      </c>
      <c r="K5" s="434" t="s">
        <v>395</v>
      </c>
      <c r="L5" s="434" t="s">
        <v>396</v>
      </c>
      <c r="M5" s="434" t="s">
        <v>397</v>
      </c>
      <c r="N5" s="434" t="s">
        <v>398</v>
      </c>
      <c r="O5" s="434" t="s">
        <v>399</v>
      </c>
      <c r="P5" s="434" t="s">
        <v>400</v>
      </c>
      <c r="Q5" s="434" t="s">
        <v>401</v>
      </c>
      <c r="R5" s="435" t="s">
        <v>402</v>
      </c>
      <c r="S5" s="436" t="s">
        <v>403</v>
      </c>
    </row>
    <row r="6" spans="1:19" ht="46.5" customHeight="1" x14ac:dyDescent="0.25">
      <c r="A6" s="437"/>
      <c r="B6" s="438" t="s">
        <v>404</v>
      </c>
      <c r="C6" s="439">
        <v>0</v>
      </c>
      <c r="D6" s="440"/>
      <c r="E6" s="439">
        <v>0.2</v>
      </c>
      <c r="F6" s="440"/>
      <c r="G6" s="439">
        <v>0.35</v>
      </c>
      <c r="H6" s="440"/>
      <c r="I6" s="439">
        <v>0.5</v>
      </c>
      <c r="J6" s="440"/>
      <c r="K6" s="439">
        <v>0.75</v>
      </c>
      <c r="L6" s="440"/>
      <c r="M6" s="439">
        <v>1</v>
      </c>
      <c r="N6" s="440"/>
      <c r="O6" s="439">
        <v>1.5</v>
      </c>
      <c r="P6" s="440"/>
      <c r="Q6" s="439">
        <v>2.5</v>
      </c>
      <c r="R6" s="440"/>
      <c r="S6" s="441" t="s">
        <v>405</v>
      </c>
    </row>
    <row r="7" spans="1:19" x14ac:dyDescent="0.25">
      <c r="A7" s="437"/>
      <c r="B7" s="442"/>
      <c r="C7" s="443" t="s">
        <v>406</v>
      </c>
      <c r="D7" s="443" t="s">
        <v>407</v>
      </c>
      <c r="E7" s="443" t="s">
        <v>406</v>
      </c>
      <c r="F7" s="443" t="s">
        <v>407</v>
      </c>
      <c r="G7" s="443" t="s">
        <v>406</v>
      </c>
      <c r="H7" s="443" t="s">
        <v>407</v>
      </c>
      <c r="I7" s="443" t="s">
        <v>406</v>
      </c>
      <c r="J7" s="443" t="s">
        <v>407</v>
      </c>
      <c r="K7" s="443" t="s">
        <v>406</v>
      </c>
      <c r="L7" s="443" t="s">
        <v>407</v>
      </c>
      <c r="M7" s="443" t="s">
        <v>406</v>
      </c>
      <c r="N7" s="443" t="s">
        <v>407</v>
      </c>
      <c r="O7" s="443" t="s">
        <v>406</v>
      </c>
      <c r="P7" s="443" t="s">
        <v>407</v>
      </c>
      <c r="Q7" s="443" t="s">
        <v>406</v>
      </c>
      <c r="R7" s="443" t="s">
        <v>407</v>
      </c>
      <c r="S7" s="444"/>
    </row>
    <row r="8" spans="1:19" x14ac:dyDescent="0.25">
      <c r="A8" s="445">
        <v>1</v>
      </c>
      <c r="B8" s="446" t="s">
        <v>408</v>
      </c>
      <c r="C8" s="447">
        <v>25514984.58136908</v>
      </c>
      <c r="D8" s="447"/>
      <c r="E8" s="447">
        <v>0</v>
      </c>
      <c r="F8" s="448"/>
      <c r="G8" s="447">
        <v>0</v>
      </c>
      <c r="H8" s="447"/>
      <c r="I8" s="447">
        <v>0</v>
      </c>
      <c r="J8" s="447"/>
      <c r="K8" s="447">
        <v>0</v>
      </c>
      <c r="L8" s="447"/>
      <c r="M8" s="447">
        <v>2291929.2700000014</v>
      </c>
      <c r="N8" s="447"/>
      <c r="O8" s="447">
        <v>0</v>
      </c>
      <c r="P8" s="447"/>
      <c r="Q8" s="447">
        <v>0</v>
      </c>
      <c r="R8" s="448"/>
      <c r="S8" s="449">
        <f>$C$6*SUM(C8:D8)+$E$6*SUM(E8:F8)+$G$6*SUM(G8:H8)+$I$6*SUM(I8:J8)+$K$6*SUM(K8:L8)+$M$6*SUM(M8:N8)+$O$6*SUM(O8:P8)+$Q$6*SUM(Q8:R8)</f>
        <v>2291929.2700000014</v>
      </c>
    </row>
    <row r="9" spans="1:19" x14ac:dyDescent="0.25">
      <c r="A9" s="445">
        <v>2</v>
      </c>
      <c r="B9" s="446" t="s">
        <v>409</v>
      </c>
      <c r="C9" s="447">
        <v>0</v>
      </c>
      <c r="D9" s="447"/>
      <c r="E9" s="447">
        <v>0</v>
      </c>
      <c r="F9" s="447"/>
      <c r="G9" s="447">
        <v>0</v>
      </c>
      <c r="H9" s="447"/>
      <c r="I9" s="447">
        <v>0</v>
      </c>
      <c r="J9" s="447"/>
      <c r="K9" s="447">
        <v>0</v>
      </c>
      <c r="L9" s="447"/>
      <c r="M9" s="447">
        <v>0</v>
      </c>
      <c r="N9" s="447"/>
      <c r="O9" s="447">
        <v>0</v>
      </c>
      <c r="P9" s="447"/>
      <c r="Q9" s="447">
        <v>0</v>
      </c>
      <c r="R9" s="448"/>
      <c r="S9" s="449">
        <f t="shared" ref="S9:S21" si="0">$C$6*SUM(C9:D9)+$E$6*SUM(E9:F9)+$G$6*SUM(G9:H9)+$I$6*SUM(I9:J9)+$K$6*SUM(K9:L9)+$M$6*SUM(M9:N9)+$O$6*SUM(O9:P9)+$Q$6*SUM(Q9:R9)</f>
        <v>0</v>
      </c>
    </row>
    <row r="10" spans="1:19" x14ac:dyDescent="0.25">
      <c r="A10" s="445">
        <v>3</v>
      </c>
      <c r="B10" s="446" t="s">
        <v>410</v>
      </c>
      <c r="C10" s="447">
        <v>0</v>
      </c>
      <c r="D10" s="447"/>
      <c r="E10" s="447">
        <v>0</v>
      </c>
      <c r="F10" s="447"/>
      <c r="G10" s="447">
        <v>0</v>
      </c>
      <c r="H10" s="447"/>
      <c r="I10" s="447">
        <v>0</v>
      </c>
      <c r="J10" s="447"/>
      <c r="K10" s="447">
        <v>0</v>
      </c>
      <c r="L10" s="447"/>
      <c r="M10" s="447">
        <v>0</v>
      </c>
      <c r="N10" s="447"/>
      <c r="O10" s="447">
        <v>0</v>
      </c>
      <c r="P10" s="447"/>
      <c r="Q10" s="447">
        <v>0</v>
      </c>
      <c r="R10" s="448"/>
      <c r="S10" s="449">
        <f t="shared" si="0"/>
        <v>0</v>
      </c>
    </row>
    <row r="11" spans="1:19" x14ac:dyDescent="0.25">
      <c r="A11" s="445">
        <v>4</v>
      </c>
      <c r="B11" s="446" t="s">
        <v>411</v>
      </c>
      <c r="C11" s="447">
        <v>0</v>
      </c>
      <c r="D11" s="447"/>
      <c r="E11" s="447">
        <v>0</v>
      </c>
      <c r="F11" s="447"/>
      <c r="G11" s="447">
        <v>0</v>
      </c>
      <c r="H11" s="447"/>
      <c r="I11" s="447">
        <v>0</v>
      </c>
      <c r="J11" s="447"/>
      <c r="K11" s="447">
        <v>0</v>
      </c>
      <c r="L11" s="447"/>
      <c r="M11" s="447">
        <v>0</v>
      </c>
      <c r="N11" s="447"/>
      <c r="O11" s="447">
        <v>0</v>
      </c>
      <c r="P11" s="447"/>
      <c r="Q11" s="447">
        <v>0</v>
      </c>
      <c r="R11" s="448"/>
      <c r="S11" s="449">
        <f t="shared" si="0"/>
        <v>0</v>
      </c>
    </row>
    <row r="12" spans="1:19" x14ac:dyDescent="0.25">
      <c r="A12" s="445">
        <v>5</v>
      </c>
      <c r="B12" s="446" t="s">
        <v>412</v>
      </c>
      <c r="C12" s="447">
        <v>0</v>
      </c>
      <c r="D12" s="447"/>
      <c r="E12" s="447">
        <v>0</v>
      </c>
      <c r="F12" s="447"/>
      <c r="G12" s="447">
        <v>0</v>
      </c>
      <c r="H12" s="447"/>
      <c r="I12" s="447">
        <v>0</v>
      </c>
      <c r="J12" s="447"/>
      <c r="K12" s="447">
        <v>0</v>
      </c>
      <c r="L12" s="447"/>
      <c r="M12" s="447">
        <v>0</v>
      </c>
      <c r="N12" s="447"/>
      <c r="O12" s="447">
        <v>0</v>
      </c>
      <c r="P12" s="447"/>
      <c r="Q12" s="447">
        <v>0</v>
      </c>
      <c r="R12" s="448"/>
      <c r="S12" s="449">
        <f t="shared" si="0"/>
        <v>0</v>
      </c>
    </row>
    <row r="13" spans="1:19" x14ac:dyDescent="0.25">
      <c r="A13" s="445">
        <v>6</v>
      </c>
      <c r="B13" s="446" t="s">
        <v>413</v>
      </c>
      <c r="C13" s="447">
        <v>0</v>
      </c>
      <c r="D13" s="447"/>
      <c r="E13" s="447">
        <v>46676257.690488502</v>
      </c>
      <c r="F13" s="447"/>
      <c r="G13" s="447">
        <v>0</v>
      </c>
      <c r="H13" s="447"/>
      <c r="I13" s="447">
        <v>0</v>
      </c>
      <c r="J13" s="447"/>
      <c r="K13" s="447">
        <v>0</v>
      </c>
      <c r="L13" s="447"/>
      <c r="M13" s="447">
        <v>3233615.2799999937</v>
      </c>
      <c r="N13" s="447"/>
      <c r="O13" s="447">
        <v>0</v>
      </c>
      <c r="P13" s="447"/>
      <c r="Q13" s="447">
        <v>0</v>
      </c>
      <c r="R13" s="448"/>
      <c r="S13" s="449">
        <f t="shared" si="0"/>
        <v>12568866.818097694</v>
      </c>
    </row>
    <row r="14" spans="1:19" x14ac:dyDescent="0.25">
      <c r="A14" s="445">
        <v>7</v>
      </c>
      <c r="B14" s="446" t="s">
        <v>414</v>
      </c>
      <c r="C14" s="447">
        <v>0</v>
      </c>
      <c r="D14" s="447"/>
      <c r="E14" s="447">
        <v>0</v>
      </c>
      <c r="F14" s="447"/>
      <c r="G14" s="447">
        <v>0</v>
      </c>
      <c r="H14" s="447"/>
      <c r="I14" s="447">
        <v>0</v>
      </c>
      <c r="J14" s="447"/>
      <c r="K14" s="447">
        <v>0</v>
      </c>
      <c r="L14" s="447"/>
      <c r="M14" s="447">
        <v>52498371.770000003</v>
      </c>
      <c r="N14" s="447">
        <v>3637469.4716671063</v>
      </c>
      <c r="O14" s="447">
        <v>0</v>
      </c>
      <c r="P14" s="447"/>
      <c r="Q14" s="447">
        <v>0</v>
      </c>
      <c r="R14" s="448"/>
      <c r="S14" s="449">
        <f t="shared" si="0"/>
        <v>56135841.241667107</v>
      </c>
    </row>
    <row r="15" spans="1:19" x14ac:dyDescent="0.25">
      <c r="A15" s="445">
        <v>8</v>
      </c>
      <c r="B15" s="450" t="s">
        <v>415</v>
      </c>
      <c r="C15" s="447">
        <v>0</v>
      </c>
      <c r="D15" s="447"/>
      <c r="E15" s="447">
        <v>0</v>
      </c>
      <c r="F15" s="447"/>
      <c r="G15" s="447">
        <v>0</v>
      </c>
      <c r="H15" s="447"/>
      <c r="I15" s="447">
        <v>0</v>
      </c>
      <c r="J15" s="447"/>
      <c r="K15" s="447">
        <v>0</v>
      </c>
      <c r="L15" s="447"/>
      <c r="M15" s="447">
        <v>17077247.75</v>
      </c>
      <c r="N15" s="447"/>
      <c r="O15" s="447">
        <v>0</v>
      </c>
      <c r="P15" s="447"/>
      <c r="Q15" s="447">
        <v>0</v>
      </c>
      <c r="R15" s="448"/>
      <c r="S15" s="449">
        <f t="shared" si="0"/>
        <v>17077247.75</v>
      </c>
    </row>
    <row r="16" spans="1:19" x14ac:dyDescent="0.25">
      <c r="A16" s="445">
        <v>9</v>
      </c>
      <c r="B16" s="450" t="s">
        <v>416</v>
      </c>
      <c r="C16" s="447">
        <v>0</v>
      </c>
      <c r="D16" s="447"/>
      <c r="E16" s="447">
        <v>0</v>
      </c>
      <c r="F16" s="447"/>
      <c r="G16" s="447">
        <v>0</v>
      </c>
      <c r="H16" s="447"/>
      <c r="I16" s="447">
        <v>0</v>
      </c>
      <c r="J16" s="447"/>
      <c r="K16" s="447">
        <v>0</v>
      </c>
      <c r="L16" s="447"/>
      <c r="M16" s="447">
        <v>0</v>
      </c>
      <c r="N16" s="447"/>
      <c r="O16" s="447">
        <v>0</v>
      </c>
      <c r="P16" s="447"/>
      <c r="Q16" s="447">
        <v>0</v>
      </c>
      <c r="R16" s="448"/>
      <c r="S16" s="449">
        <f t="shared" si="0"/>
        <v>0</v>
      </c>
    </row>
    <row r="17" spans="1:19" x14ac:dyDescent="0.25">
      <c r="A17" s="445">
        <v>10</v>
      </c>
      <c r="B17" s="450" t="s">
        <v>417</v>
      </c>
      <c r="C17" s="447">
        <v>0</v>
      </c>
      <c r="D17" s="447"/>
      <c r="E17" s="447">
        <v>0</v>
      </c>
      <c r="F17" s="447"/>
      <c r="G17" s="447">
        <v>0</v>
      </c>
      <c r="H17" s="447"/>
      <c r="I17" s="447">
        <v>0</v>
      </c>
      <c r="J17" s="447"/>
      <c r="K17" s="447">
        <v>0</v>
      </c>
      <c r="L17" s="447"/>
      <c r="M17" s="447">
        <v>147295.26</v>
      </c>
      <c r="N17" s="447"/>
      <c r="O17" s="447">
        <v>0</v>
      </c>
      <c r="P17" s="447"/>
      <c r="Q17" s="447">
        <v>0</v>
      </c>
      <c r="R17" s="448"/>
      <c r="S17" s="449">
        <f t="shared" si="0"/>
        <v>147295.26</v>
      </c>
    </row>
    <row r="18" spans="1:19" x14ac:dyDescent="0.25">
      <c r="A18" s="445">
        <v>11</v>
      </c>
      <c r="B18" s="450" t="s">
        <v>418</v>
      </c>
      <c r="C18" s="447">
        <v>0</v>
      </c>
      <c r="D18" s="447"/>
      <c r="E18" s="447">
        <v>0</v>
      </c>
      <c r="F18" s="447"/>
      <c r="G18" s="447">
        <v>0</v>
      </c>
      <c r="H18" s="447"/>
      <c r="I18" s="447">
        <v>0</v>
      </c>
      <c r="J18" s="447"/>
      <c r="K18" s="447">
        <v>0</v>
      </c>
      <c r="L18" s="447"/>
      <c r="M18" s="447">
        <v>0</v>
      </c>
      <c r="N18" s="447"/>
      <c r="O18" s="447">
        <v>0</v>
      </c>
      <c r="P18" s="447"/>
      <c r="Q18" s="447">
        <v>0</v>
      </c>
      <c r="R18" s="448"/>
      <c r="S18" s="449">
        <f t="shared" si="0"/>
        <v>0</v>
      </c>
    </row>
    <row r="19" spans="1:19" x14ac:dyDescent="0.25">
      <c r="A19" s="445">
        <v>12</v>
      </c>
      <c r="B19" s="450" t="s">
        <v>419</v>
      </c>
      <c r="C19" s="447">
        <v>0</v>
      </c>
      <c r="D19" s="447"/>
      <c r="E19" s="447">
        <v>0</v>
      </c>
      <c r="F19" s="447"/>
      <c r="G19" s="447">
        <v>0</v>
      </c>
      <c r="H19" s="447"/>
      <c r="I19" s="447">
        <v>0</v>
      </c>
      <c r="J19" s="447"/>
      <c r="K19" s="447">
        <v>0</v>
      </c>
      <c r="L19" s="447"/>
      <c r="M19" s="447">
        <v>0</v>
      </c>
      <c r="N19" s="447"/>
      <c r="O19" s="447">
        <v>0</v>
      </c>
      <c r="P19" s="447"/>
      <c r="Q19" s="447">
        <v>0</v>
      </c>
      <c r="R19" s="448"/>
      <c r="S19" s="449">
        <f t="shared" si="0"/>
        <v>0</v>
      </c>
    </row>
    <row r="20" spans="1:19" x14ac:dyDescent="0.25">
      <c r="A20" s="445">
        <v>13</v>
      </c>
      <c r="B20" s="450" t="s">
        <v>420</v>
      </c>
      <c r="C20" s="447">
        <v>0</v>
      </c>
      <c r="D20" s="447"/>
      <c r="E20" s="447">
        <v>0</v>
      </c>
      <c r="F20" s="447"/>
      <c r="G20" s="447">
        <v>0</v>
      </c>
      <c r="H20" s="447"/>
      <c r="I20" s="447">
        <v>0</v>
      </c>
      <c r="J20" s="447"/>
      <c r="K20" s="447">
        <v>0</v>
      </c>
      <c r="L20" s="447"/>
      <c r="M20" s="447">
        <v>0</v>
      </c>
      <c r="N20" s="447"/>
      <c r="O20" s="447">
        <v>0</v>
      </c>
      <c r="P20" s="447"/>
      <c r="Q20" s="447">
        <v>0</v>
      </c>
      <c r="R20" s="448"/>
      <c r="S20" s="449">
        <f t="shared" si="0"/>
        <v>0</v>
      </c>
    </row>
    <row r="21" spans="1:19" x14ac:dyDescent="0.25">
      <c r="A21" s="445">
        <v>14</v>
      </c>
      <c r="B21" s="450" t="s">
        <v>421</v>
      </c>
      <c r="C21" s="447">
        <v>3269582.12</v>
      </c>
      <c r="D21" s="447"/>
      <c r="E21" s="447">
        <v>195945.88</v>
      </c>
      <c r="F21" s="447"/>
      <c r="G21" s="447">
        <v>0</v>
      </c>
      <c r="H21" s="447"/>
      <c r="I21" s="447">
        <v>0</v>
      </c>
      <c r="J21" s="447"/>
      <c r="K21" s="447">
        <v>0</v>
      </c>
      <c r="L21" s="447"/>
      <c r="M21" s="447">
        <v>28346932.265174728</v>
      </c>
      <c r="N21" s="447"/>
      <c r="O21" s="447">
        <v>0</v>
      </c>
      <c r="P21" s="447"/>
      <c r="Q21" s="447">
        <v>0</v>
      </c>
      <c r="R21" s="448"/>
      <c r="S21" s="449">
        <f t="shared" si="0"/>
        <v>28386121.441174727</v>
      </c>
    </row>
    <row r="22" spans="1:19" ht="14.25" thickBot="1" x14ac:dyDescent="0.3">
      <c r="A22" s="451"/>
      <c r="B22" s="452" t="s">
        <v>96</v>
      </c>
      <c r="C22" s="453">
        <f>SUM(C8:C21)</f>
        <v>28784566.701369081</v>
      </c>
      <c r="D22" s="453">
        <f t="shared" ref="D22:S22" si="1">SUM(D8:D21)</f>
        <v>0</v>
      </c>
      <c r="E22" s="453">
        <f t="shared" si="1"/>
        <v>46872203.570488505</v>
      </c>
      <c r="F22" s="453">
        <f t="shared" si="1"/>
        <v>0</v>
      </c>
      <c r="G22" s="453">
        <f t="shared" si="1"/>
        <v>0</v>
      </c>
      <c r="H22" s="453">
        <f t="shared" si="1"/>
        <v>0</v>
      </c>
      <c r="I22" s="453">
        <f t="shared" si="1"/>
        <v>0</v>
      </c>
      <c r="J22" s="453">
        <f t="shared" si="1"/>
        <v>0</v>
      </c>
      <c r="K22" s="453">
        <f t="shared" si="1"/>
        <v>0</v>
      </c>
      <c r="L22" s="453">
        <f t="shared" si="1"/>
        <v>0</v>
      </c>
      <c r="M22" s="453">
        <f>SUM(M8:M21)</f>
        <v>103595391.59517473</v>
      </c>
      <c r="N22" s="453">
        <f t="shared" si="1"/>
        <v>3637469.4716671063</v>
      </c>
      <c r="O22" s="453">
        <f t="shared" si="1"/>
        <v>0</v>
      </c>
      <c r="P22" s="453">
        <f t="shared" si="1"/>
        <v>0</v>
      </c>
      <c r="Q22" s="453">
        <f t="shared" si="1"/>
        <v>0</v>
      </c>
      <c r="R22" s="453">
        <f t="shared" si="1"/>
        <v>0</v>
      </c>
      <c r="S22" s="454">
        <f t="shared" si="1"/>
        <v>116607301.78093953</v>
      </c>
    </row>
    <row r="24" spans="1:19" s="867" customFormat="1" x14ac:dyDescent="0.25">
      <c r="A24" s="851"/>
      <c r="B24" s="851"/>
      <c r="C24" s="864"/>
      <c r="D24" s="851"/>
      <c r="E24" s="864"/>
      <c r="F24" s="851"/>
      <c r="G24" s="864"/>
      <c r="H24" s="851"/>
      <c r="I24" s="864"/>
      <c r="J24" s="851"/>
      <c r="K24" s="864"/>
      <c r="L24" s="851"/>
      <c r="M24" s="864"/>
      <c r="N24" s="864"/>
      <c r="O24" s="864"/>
      <c r="P24" s="851"/>
      <c r="Q24" s="864"/>
      <c r="R24" s="865"/>
      <c r="S24" s="866"/>
    </row>
    <row r="25" spans="1:19" s="867" customFormat="1" x14ac:dyDescent="0.25">
      <c r="A25" s="851"/>
      <c r="B25" s="851"/>
      <c r="C25" s="851"/>
      <c r="D25" s="851"/>
      <c r="E25" s="851"/>
      <c r="F25" s="851"/>
      <c r="G25" s="851"/>
      <c r="H25" s="851"/>
      <c r="I25" s="851"/>
      <c r="J25" s="851"/>
      <c r="K25" s="851"/>
      <c r="L25" s="851"/>
      <c r="M25" s="851"/>
      <c r="N25" s="851"/>
      <c r="O25" s="851"/>
      <c r="P25" s="851"/>
      <c r="Q25" s="851"/>
      <c r="R25" s="868"/>
      <c r="S25" s="864"/>
    </row>
    <row r="26" spans="1:19" s="867" customFormat="1" x14ac:dyDescent="0.25">
      <c r="A26" s="851"/>
      <c r="B26" s="851"/>
      <c r="C26" s="851"/>
      <c r="D26" s="851"/>
      <c r="E26" s="851"/>
      <c r="F26" s="851"/>
      <c r="G26" s="851"/>
      <c r="H26" s="851"/>
      <c r="I26" s="851"/>
      <c r="J26" s="851"/>
      <c r="K26" s="851"/>
      <c r="L26" s="851"/>
      <c r="M26" s="851"/>
      <c r="N26" s="851"/>
      <c r="O26" s="851"/>
      <c r="P26" s="851"/>
      <c r="Q26" s="851"/>
      <c r="R26" s="864"/>
      <c r="S26" s="851"/>
    </row>
    <row r="27" spans="1:19" s="867" customFormat="1" x14ac:dyDescent="0.25">
      <c r="A27" s="851"/>
      <c r="B27" s="851"/>
      <c r="C27" s="851"/>
      <c r="D27" s="851"/>
      <c r="E27" s="851"/>
      <c r="F27" s="851"/>
      <c r="G27" s="851"/>
      <c r="H27" s="851"/>
      <c r="I27" s="851"/>
      <c r="J27" s="851"/>
      <c r="K27" s="851"/>
      <c r="L27" s="851"/>
      <c r="M27" s="851"/>
      <c r="N27" s="851"/>
      <c r="O27" s="851"/>
      <c r="P27" s="851"/>
      <c r="Q27" s="851"/>
      <c r="R27" s="851"/>
      <c r="S27" s="851"/>
    </row>
    <row r="28" spans="1:19" s="867" customFormat="1" x14ac:dyDescent="0.25">
      <c r="A28" s="851"/>
      <c r="B28" s="851"/>
      <c r="C28" s="851"/>
      <c r="D28" s="851"/>
      <c r="E28" s="851"/>
      <c r="F28" s="851"/>
      <c r="G28" s="851"/>
      <c r="H28" s="851"/>
      <c r="I28" s="851"/>
      <c r="J28" s="851"/>
      <c r="K28" s="851"/>
      <c r="L28" s="851"/>
      <c r="M28" s="851"/>
      <c r="N28" s="851"/>
      <c r="O28" s="851"/>
      <c r="P28" s="851"/>
      <c r="Q28" s="851"/>
      <c r="R28" s="851"/>
      <c r="S28" s="851"/>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4F33-CFE3-4C21-8AB1-6DDE566535A3}">
  <dimension ref="A1:V28"/>
  <sheetViews>
    <sheetView zoomScale="90" zoomScaleNormal="90" workbookViewId="0">
      <pane xSplit="2" ySplit="6" topLeftCell="C7" activePane="bottomRight" state="frozen"/>
      <selection activeCell="D46" sqref="D46"/>
      <selection pane="topRight" activeCell="D46" sqref="D46"/>
      <selection pane="bottomLeft" activeCell="D46" sqref="D46"/>
      <selection pane="bottomRight" activeCell="D46" sqref="D46"/>
    </sheetView>
  </sheetViews>
  <sheetFormatPr defaultColWidth="9.140625" defaultRowHeight="13.5" x14ac:dyDescent="0.25"/>
  <cols>
    <col min="1" max="1" width="10.5703125" style="22" bestFit="1" customWidth="1"/>
    <col min="2" max="2" width="74.5703125" style="22" customWidth="1"/>
    <col min="3" max="3" width="19" style="22" customWidth="1"/>
    <col min="4" max="4" width="19.5703125" style="22" customWidth="1"/>
    <col min="5" max="5" width="31.140625" style="22" customWidth="1"/>
    <col min="6" max="6" width="29.140625" style="22" customWidth="1"/>
    <col min="7" max="7" width="62.140625" style="22" customWidth="1"/>
    <col min="8" max="8" width="26.42578125" style="22" customWidth="1"/>
    <col min="9" max="9" width="23.7109375" style="22" customWidth="1"/>
    <col min="10" max="10" width="21.5703125" style="22" customWidth="1"/>
    <col min="11" max="11" width="15.7109375" style="22" customWidth="1"/>
    <col min="12" max="12" width="13.28515625" style="22" customWidth="1"/>
    <col min="13" max="13" width="20.85546875" style="22" customWidth="1"/>
    <col min="14" max="14" width="19.28515625" style="22" customWidth="1"/>
    <col min="15" max="15" width="18.42578125" style="22" customWidth="1"/>
    <col min="16" max="16" width="19" style="22" customWidth="1"/>
    <col min="17" max="17" width="20.28515625" style="22" customWidth="1"/>
    <col min="18" max="18" width="18" style="22" customWidth="1"/>
    <col min="19" max="19" width="36" style="22" customWidth="1"/>
    <col min="20" max="20" width="19.42578125" style="22" customWidth="1"/>
    <col min="21" max="21" width="19.140625" style="22" customWidth="1"/>
    <col min="22" max="22" width="20" style="22" customWidth="1"/>
    <col min="23" max="16384" width="9.140625" style="219"/>
  </cols>
  <sheetData>
    <row r="1" spans="1:22" x14ac:dyDescent="0.25">
      <c r="A1" s="22" t="s">
        <v>41</v>
      </c>
      <c r="B1" s="22" t="str">
        <f>Info!C2</f>
        <v>სს სილქ ბანკი</v>
      </c>
    </row>
    <row r="2" spans="1:22" x14ac:dyDescent="0.25">
      <c r="A2" s="22" t="s">
        <v>42</v>
      </c>
      <c r="B2" s="26">
        <f>'1. key ratios'!B2</f>
        <v>45382</v>
      </c>
    </row>
    <row r="4" spans="1:22" ht="40.5" customHeight="1" thickBot="1" x14ac:dyDescent="0.35">
      <c r="A4" s="22" t="s">
        <v>422</v>
      </c>
      <c r="B4" s="431" t="s">
        <v>423</v>
      </c>
      <c r="V4" s="390" t="s">
        <v>238</v>
      </c>
    </row>
    <row r="5" spans="1:22" x14ac:dyDescent="0.25">
      <c r="A5" s="455"/>
      <c r="B5" s="456"/>
      <c r="C5" s="457" t="s">
        <v>424</v>
      </c>
      <c r="D5" s="458"/>
      <c r="E5" s="458"/>
      <c r="F5" s="458"/>
      <c r="G5" s="458"/>
      <c r="H5" s="458"/>
      <c r="I5" s="458"/>
      <c r="J5" s="458"/>
      <c r="K5" s="458"/>
      <c r="L5" s="459"/>
      <c r="M5" s="457" t="s">
        <v>425</v>
      </c>
      <c r="N5" s="458"/>
      <c r="O5" s="458"/>
      <c r="P5" s="458"/>
      <c r="Q5" s="458"/>
      <c r="R5" s="458"/>
      <c r="S5" s="459"/>
      <c r="T5" s="460" t="s">
        <v>426</v>
      </c>
      <c r="U5" s="460" t="s">
        <v>427</v>
      </c>
      <c r="V5" s="461" t="s">
        <v>428</v>
      </c>
    </row>
    <row r="6" spans="1:22" s="321" customFormat="1" ht="148.5" x14ac:dyDescent="0.25">
      <c r="A6" s="307"/>
      <c r="B6" s="462"/>
      <c r="C6" s="463" t="s">
        <v>429</v>
      </c>
      <c r="D6" s="464" t="s">
        <v>430</v>
      </c>
      <c r="E6" s="465" t="s">
        <v>431</v>
      </c>
      <c r="F6" s="465" t="s">
        <v>432</v>
      </c>
      <c r="G6" s="464" t="s">
        <v>433</v>
      </c>
      <c r="H6" s="464" t="s">
        <v>434</v>
      </c>
      <c r="I6" s="464" t="s">
        <v>435</v>
      </c>
      <c r="J6" s="464" t="s">
        <v>436</v>
      </c>
      <c r="K6" s="464" t="s">
        <v>437</v>
      </c>
      <c r="L6" s="466" t="s">
        <v>438</v>
      </c>
      <c r="M6" s="463" t="s">
        <v>439</v>
      </c>
      <c r="N6" s="464" t="s">
        <v>440</v>
      </c>
      <c r="O6" s="464" t="s">
        <v>441</v>
      </c>
      <c r="P6" s="464" t="s">
        <v>442</v>
      </c>
      <c r="Q6" s="464" t="s">
        <v>443</v>
      </c>
      <c r="R6" s="464" t="s">
        <v>444</v>
      </c>
      <c r="S6" s="466" t="s">
        <v>445</v>
      </c>
      <c r="T6" s="467"/>
      <c r="U6" s="467"/>
      <c r="V6" s="468"/>
    </row>
    <row r="7" spans="1:22" x14ac:dyDescent="0.25">
      <c r="A7" s="469">
        <v>1</v>
      </c>
      <c r="B7" s="470" t="s">
        <v>408</v>
      </c>
      <c r="C7" s="471">
        <v>0</v>
      </c>
      <c r="D7" s="447">
        <v>0</v>
      </c>
      <c r="E7" s="447">
        <v>0</v>
      </c>
      <c r="F7" s="447">
        <v>0</v>
      </c>
      <c r="G7" s="447">
        <v>0</v>
      </c>
      <c r="H7" s="447">
        <v>0</v>
      </c>
      <c r="I7" s="447">
        <v>0</v>
      </c>
      <c r="J7" s="447">
        <v>0</v>
      </c>
      <c r="K7" s="447">
        <v>0</v>
      </c>
      <c r="L7" s="472">
        <v>0</v>
      </c>
      <c r="M7" s="471">
        <v>0</v>
      </c>
      <c r="N7" s="447">
        <v>0</v>
      </c>
      <c r="O7" s="447">
        <v>0</v>
      </c>
      <c r="P7" s="447">
        <v>0</v>
      </c>
      <c r="Q7" s="447">
        <v>0</v>
      </c>
      <c r="R7" s="447">
        <v>0</v>
      </c>
      <c r="S7" s="472">
        <v>0</v>
      </c>
      <c r="T7" s="473">
        <v>0</v>
      </c>
      <c r="U7" s="474">
        <v>0</v>
      </c>
      <c r="V7" s="475">
        <f>SUM(C7:U7)</f>
        <v>0</v>
      </c>
    </row>
    <row r="8" spans="1:22" x14ac:dyDescent="0.25">
      <c r="A8" s="469">
        <v>2</v>
      </c>
      <c r="B8" s="470" t="s">
        <v>409</v>
      </c>
      <c r="C8" s="471">
        <v>0</v>
      </c>
      <c r="D8" s="447">
        <v>0</v>
      </c>
      <c r="E8" s="447">
        <v>0</v>
      </c>
      <c r="F8" s="447">
        <v>0</v>
      </c>
      <c r="G8" s="447">
        <v>0</v>
      </c>
      <c r="H8" s="447">
        <v>0</v>
      </c>
      <c r="I8" s="447">
        <v>0</v>
      </c>
      <c r="J8" s="447">
        <v>0</v>
      </c>
      <c r="K8" s="447">
        <v>0</v>
      </c>
      <c r="L8" s="472">
        <v>0</v>
      </c>
      <c r="M8" s="471">
        <v>0</v>
      </c>
      <c r="N8" s="447">
        <v>0</v>
      </c>
      <c r="O8" s="447">
        <v>0</v>
      </c>
      <c r="P8" s="447">
        <v>0</v>
      </c>
      <c r="Q8" s="447">
        <v>0</v>
      </c>
      <c r="R8" s="447">
        <v>0</v>
      </c>
      <c r="S8" s="472">
        <v>0</v>
      </c>
      <c r="T8" s="474">
        <v>0</v>
      </c>
      <c r="U8" s="474">
        <v>0</v>
      </c>
      <c r="V8" s="475">
        <f>SUM(C8:S8)</f>
        <v>0</v>
      </c>
    </row>
    <row r="9" spans="1:22" x14ac:dyDescent="0.25">
      <c r="A9" s="469">
        <v>3</v>
      </c>
      <c r="B9" s="470" t="s">
        <v>410</v>
      </c>
      <c r="C9" s="471">
        <v>0</v>
      </c>
      <c r="D9" s="447">
        <v>0</v>
      </c>
      <c r="E9" s="447">
        <v>0</v>
      </c>
      <c r="F9" s="447">
        <v>0</v>
      </c>
      <c r="G9" s="447">
        <v>0</v>
      </c>
      <c r="H9" s="447">
        <v>0</v>
      </c>
      <c r="I9" s="447">
        <v>0</v>
      </c>
      <c r="J9" s="447">
        <v>0</v>
      </c>
      <c r="K9" s="447">
        <v>0</v>
      </c>
      <c r="L9" s="472">
        <v>0</v>
      </c>
      <c r="M9" s="471">
        <v>0</v>
      </c>
      <c r="N9" s="447">
        <v>0</v>
      </c>
      <c r="O9" s="447">
        <v>0</v>
      </c>
      <c r="P9" s="447">
        <v>0</v>
      </c>
      <c r="Q9" s="447">
        <v>0</v>
      </c>
      <c r="R9" s="447">
        <v>0</v>
      </c>
      <c r="S9" s="472">
        <v>0</v>
      </c>
      <c r="T9" s="474">
        <v>0</v>
      </c>
      <c r="U9" s="474">
        <v>0</v>
      </c>
      <c r="V9" s="475">
        <f t="shared" ref="V9:V20" si="0">SUM(C9:U9)</f>
        <v>0</v>
      </c>
    </row>
    <row r="10" spans="1:22" x14ac:dyDescent="0.25">
      <c r="A10" s="469">
        <v>4</v>
      </c>
      <c r="B10" s="470" t="s">
        <v>411</v>
      </c>
      <c r="C10" s="471">
        <v>0</v>
      </c>
      <c r="D10" s="447">
        <v>0</v>
      </c>
      <c r="E10" s="447">
        <v>0</v>
      </c>
      <c r="F10" s="447">
        <v>0</v>
      </c>
      <c r="G10" s="447">
        <v>0</v>
      </c>
      <c r="H10" s="447">
        <v>0</v>
      </c>
      <c r="I10" s="447">
        <v>0</v>
      </c>
      <c r="J10" s="447">
        <v>0</v>
      </c>
      <c r="K10" s="447">
        <v>0</v>
      </c>
      <c r="L10" s="472">
        <v>0</v>
      </c>
      <c r="M10" s="471">
        <v>0</v>
      </c>
      <c r="N10" s="447">
        <v>0</v>
      </c>
      <c r="O10" s="447">
        <v>0</v>
      </c>
      <c r="P10" s="447">
        <v>0</v>
      </c>
      <c r="Q10" s="447">
        <v>0</v>
      </c>
      <c r="R10" s="447">
        <v>0</v>
      </c>
      <c r="S10" s="472">
        <v>0</v>
      </c>
      <c r="T10" s="474">
        <v>0</v>
      </c>
      <c r="U10" s="474">
        <v>0</v>
      </c>
      <c r="V10" s="475">
        <f t="shared" si="0"/>
        <v>0</v>
      </c>
    </row>
    <row r="11" spans="1:22" x14ac:dyDescent="0.25">
      <c r="A11" s="469">
        <v>5</v>
      </c>
      <c r="B11" s="470" t="s">
        <v>412</v>
      </c>
      <c r="C11" s="471">
        <v>0</v>
      </c>
      <c r="D11" s="447">
        <v>0</v>
      </c>
      <c r="E11" s="447">
        <v>0</v>
      </c>
      <c r="F11" s="447">
        <v>0</v>
      </c>
      <c r="G11" s="447">
        <v>0</v>
      </c>
      <c r="H11" s="447">
        <v>0</v>
      </c>
      <c r="I11" s="447">
        <v>0</v>
      </c>
      <c r="J11" s="447">
        <v>0</v>
      </c>
      <c r="K11" s="447">
        <v>0</v>
      </c>
      <c r="L11" s="472">
        <v>0</v>
      </c>
      <c r="M11" s="471">
        <v>0</v>
      </c>
      <c r="N11" s="447">
        <v>0</v>
      </c>
      <c r="O11" s="447">
        <v>0</v>
      </c>
      <c r="P11" s="447">
        <v>0</v>
      </c>
      <c r="Q11" s="447">
        <v>0</v>
      </c>
      <c r="R11" s="447">
        <v>0</v>
      </c>
      <c r="S11" s="472">
        <v>0</v>
      </c>
      <c r="T11" s="474">
        <v>0</v>
      </c>
      <c r="U11" s="474">
        <v>0</v>
      </c>
      <c r="V11" s="475">
        <f t="shared" si="0"/>
        <v>0</v>
      </c>
    </row>
    <row r="12" spans="1:22" x14ac:dyDescent="0.25">
      <c r="A12" s="469">
        <v>6</v>
      </c>
      <c r="B12" s="470" t="s">
        <v>413</v>
      </c>
      <c r="C12" s="471">
        <v>0</v>
      </c>
      <c r="D12" s="447">
        <v>0</v>
      </c>
      <c r="E12" s="447">
        <v>0</v>
      </c>
      <c r="F12" s="447">
        <v>0</v>
      </c>
      <c r="G12" s="447">
        <v>0</v>
      </c>
      <c r="H12" s="447">
        <v>0</v>
      </c>
      <c r="I12" s="447">
        <v>0</v>
      </c>
      <c r="J12" s="447">
        <v>0</v>
      </c>
      <c r="K12" s="447">
        <v>0</v>
      </c>
      <c r="L12" s="472">
        <v>0</v>
      </c>
      <c r="M12" s="471">
        <v>0</v>
      </c>
      <c r="N12" s="447">
        <v>0</v>
      </c>
      <c r="O12" s="447">
        <v>0</v>
      </c>
      <c r="P12" s="447">
        <v>0</v>
      </c>
      <c r="Q12" s="447">
        <v>0</v>
      </c>
      <c r="R12" s="447">
        <v>0</v>
      </c>
      <c r="S12" s="472">
        <v>0</v>
      </c>
      <c r="T12" s="474">
        <v>0</v>
      </c>
      <c r="U12" s="474">
        <v>0</v>
      </c>
      <c r="V12" s="475">
        <f t="shared" si="0"/>
        <v>0</v>
      </c>
    </row>
    <row r="13" spans="1:22" x14ac:dyDescent="0.25">
      <c r="A13" s="469">
        <v>7</v>
      </c>
      <c r="B13" s="470" t="s">
        <v>414</v>
      </c>
      <c r="C13" s="471">
        <v>0</v>
      </c>
      <c r="D13" s="447">
        <v>0</v>
      </c>
      <c r="E13" s="447">
        <v>0</v>
      </c>
      <c r="F13" s="447">
        <v>0</v>
      </c>
      <c r="G13" s="447">
        <v>0</v>
      </c>
      <c r="H13" s="447">
        <v>0</v>
      </c>
      <c r="I13" s="447">
        <v>0</v>
      </c>
      <c r="J13" s="447">
        <v>0</v>
      </c>
      <c r="K13" s="447">
        <v>0</v>
      </c>
      <c r="L13" s="472">
        <v>0</v>
      </c>
      <c r="M13" s="471">
        <v>0</v>
      </c>
      <c r="N13" s="447">
        <v>0</v>
      </c>
      <c r="O13" s="447">
        <v>0</v>
      </c>
      <c r="P13" s="447">
        <v>0</v>
      </c>
      <c r="Q13" s="447">
        <v>0</v>
      </c>
      <c r="R13" s="447">
        <v>0</v>
      </c>
      <c r="S13" s="472">
        <v>0</v>
      </c>
      <c r="T13" s="474">
        <v>0</v>
      </c>
      <c r="U13" s="474">
        <v>0</v>
      </c>
      <c r="V13" s="475">
        <f t="shared" si="0"/>
        <v>0</v>
      </c>
    </row>
    <row r="14" spans="1:22" x14ac:dyDescent="0.25">
      <c r="A14" s="469">
        <v>8</v>
      </c>
      <c r="B14" s="470" t="s">
        <v>415</v>
      </c>
      <c r="C14" s="471">
        <v>0</v>
      </c>
      <c r="D14" s="447">
        <v>0</v>
      </c>
      <c r="E14" s="447">
        <v>0</v>
      </c>
      <c r="F14" s="447">
        <v>0</v>
      </c>
      <c r="G14" s="447">
        <v>0</v>
      </c>
      <c r="H14" s="447">
        <v>0</v>
      </c>
      <c r="I14" s="447">
        <v>0</v>
      </c>
      <c r="J14" s="447">
        <v>0</v>
      </c>
      <c r="K14" s="447">
        <v>0</v>
      </c>
      <c r="L14" s="472">
        <v>0</v>
      </c>
      <c r="M14" s="471">
        <v>0</v>
      </c>
      <c r="N14" s="447">
        <v>0</v>
      </c>
      <c r="O14" s="447">
        <v>0</v>
      </c>
      <c r="P14" s="447">
        <v>0</v>
      </c>
      <c r="Q14" s="447">
        <v>0</v>
      </c>
      <c r="R14" s="447">
        <v>0</v>
      </c>
      <c r="S14" s="472">
        <v>0</v>
      </c>
      <c r="T14" s="474">
        <v>0</v>
      </c>
      <c r="U14" s="474">
        <v>0</v>
      </c>
      <c r="V14" s="475">
        <f t="shared" si="0"/>
        <v>0</v>
      </c>
    </row>
    <row r="15" spans="1:22" x14ac:dyDescent="0.25">
      <c r="A15" s="469">
        <v>9</v>
      </c>
      <c r="B15" s="470" t="s">
        <v>416</v>
      </c>
      <c r="C15" s="471">
        <v>0</v>
      </c>
      <c r="D15" s="447">
        <v>0</v>
      </c>
      <c r="E15" s="447">
        <v>0</v>
      </c>
      <c r="F15" s="447">
        <v>0</v>
      </c>
      <c r="G15" s="447">
        <v>0</v>
      </c>
      <c r="H15" s="447">
        <v>0</v>
      </c>
      <c r="I15" s="447">
        <v>0</v>
      </c>
      <c r="J15" s="447">
        <v>0</v>
      </c>
      <c r="K15" s="447">
        <v>0</v>
      </c>
      <c r="L15" s="472">
        <v>0</v>
      </c>
      <c r="M15" s="471">
        <v>0</v>
      </c>
      <c r="N15" s="447">
        <v>0</v>
      </c>
      <c r="O15" s="447">
        <v>0</v>
      </c>
      <c r="P15" s="447">
        <v>0</v>
      </c>
      <c r="Q15" s="447">
        <v>0</v>
      </c>
      <c r="R15" s="447">
        <v>0</v>
      </c>
      <c r="S15" s="472">
        <v>0</v>
      </c>
      <c r="T15" s="474">
        <v>0</v>
      </c>
      <c r="U15" s="474">
        <v>0</v>
      </c>
      <c r="V15" s="475">
        <f t="shared" si="0"/>
        <v>0</v>
      </c>
    </row>
    <row r="16" spans="1:22" x14ac:dyDescent="0.25">
      <c r="A16" s="469">
        <v>10</v>
      </c>
      <c r="B16" s="470" t="s">
        <v>417</v>
      </c>
      <c r="C16" s="471">
        <v>0</v>
      </c>
      <c r="D16" s="447">
        <v>0</v>
      </c>
      <c r="E16" s="447">
        <v>0</v>
      </c>
      <c r="F16" s="447">
        <v>0</v>
      </c>
      <c r="G16" s="447">
        <v>0</v>
      </c>
      <c r="H16" s="447">
        <v>0</v>
      </c>
      <c r="I16" s="447">
        <v>0</v>
      </c>
      <c r="J16" s="447">
        <v>0</v>
      </c>
      <c r="K16" s="447">
        <v>0</v>
      </c>
      <c r="L16" s="472">
        <v>0</v>
      </c>
      <c r="M16" s="471">
        <v>0</v>
      </c>
      <c r="N16" s="447">
        <v>0</v>
      </c>
      <c r="O16" s="447">
        <v>0</v>
      </c>
      <c r="P16" s="447">
        <v>0</v>
      </c>
      <c r="Q16" s="447">
        <v>0</v>
      </c>
      <c r="R16" s="447">
        <v>0</v>
      </c>
      <c r="S16" s="472">
        <v>0</v>
      </c>
      <c r="T16" s="474">
        <v>0</v>
      </c>
      <c r="U16" s="474">
        <v>0</v>
      </c>
      <c r="V16" s="475">
        <f t="shared" si="0"/>
        <v>0</v>
      </c>
    </row>
    <row r="17" spans="1:22" x14ac:dyDescent="0.25">
      <c r="A17" s="469">
        <v>11</v>
      </c>
      <c r="B17" s="470" t="s">
        <v>418</v>
      </c>
      <c r="C17" s="471">
        <v>0</v>
      </c>
      <c r="D17" s="447">
        <v>0</v>
      </c>
      <c r="E17" s="447">
        <v>0</v>
      </c>
      <c r="F17" s="447">
        <v>0</v>
      </c>
      <c r="G17" s="447">
        <v>0</v>
      </c>
      <c r="H17" s="447">
        <v>0</v>
      </c>
      <c r="I17" s="447">
        <v>0</v>
      </c>
      <c r="J17" s="447">
        <v>0</v>
      </c>
      <c r="K17" s="447">
        <v>0</v>
      </c>
      <c r="L17" s="472">
        <v>0</v>
      </c>
      <c r="M17" s="471">
        <v>0</v>
      </c>
      <c r="N17" s="447">
        <v>0</v>
      </c>
      <c r="O17" s="447">
        <v>0</v>
      </c>
      <c r="P17" s="447">
        <v>0</v>
      </c>
      <c r="Q17" s="447">
        <v>0</v>
      </c>
      <c r="R17" s="447">
        <v>0</v>
      </c>
      <c r="S17" s="472">
        <v>0</v>
      </c>
      <c r="T17" s="474">
        <v>0</v>
      </c>
      <c r="U17" s="474">
        <v>0</v>
      </c>
      <c r="V17" s="475">
        <f t="shared" si="0"/>
        <v>0</v>
      </c>
    </row>
    <row r="18" spans="1:22" x14ac:dyDescent="0.25">
      <c r="A18" s="469">
        <v>12</v>
      </c>
      <c r="B18" s="470" t="s">
        <v>419</v>
      </c>
      <c r="C18" s="471">
        <v>0</v>
      </c>
      <c r="D18" s="447">
        <v>0</v>
      </c>
      <c r="E18" s="447">
        <v>0</v>
      </c>
      <c r="F18" s="447">
        <v>0</v>
      </c>
      <c r="G18" s="447">
        <v>0</v>
      </c>
      <c r="H18" s="447">
        <v>0</v>
      </c>
      <c r="I18" s="447">
        <v>0</v>
      </c>
      <c r="J18" s="447">
        <v>0</v>
      </c>
      <c r="K18" s="447">
        <v>0</v>
      </c>
      <c r="L18" s="472">
        <v>0</v>
      </c>
      <c r="M18" s="471">
        <v>0</v>
      </c>
      <c r="N18" s="447">
        <v>0</v>
      </c>
      <c r="O18" s="447">
        <v>0</v>
      </c>
      <c r="P18" s="447">
        <v>0</v>
      </c>
      <c r="Q18" s="447">
        <v>0</v>
      </c>
      <c r="R18" s="447">
        <v>0</v>
      </c>
      <c r="S18" s="472">
        <v>0</v>
      </c>
      <c r="T18" s="474">
        <v>0</v>
      </c>
      <c r="U18" s="474">
        <v>0</v>
      </c>
      <c r="V18" s="475">
        <f t="shared" si="0"/>
        <v>0</v>
      </c>
    </row>
    <row r="19" spans="1:22" x14ac:dyDescent="0.25">
      <c r="A19" s="469">
        <v>13</v>
      </c>
      <c r="B19" s="470" t="s">
        <v>420</v>
      </c>
      <c r="C19" s="471">
        <v>0</v>
      </c>
      <c r="D19" s="447">
        <v>0</v>
      </c>
      <c r="E19" s="447">
        <v>0</v>
      </c>
      <c r="F19" s="447">
        <v>0</v>
      </c>
      <c r="G19" s="447">
        <v>0</v>
      </c>
      <c r="H19" s="447">
        <v>0</v>
      </c>
      <c r="I19" s="447">
        <v>0</v>
      </c>
      <c r="J19" s="447">
        <v>0</v>
      </c>
      <c r="K19" s="447">
        <v>0</v>
      </c>
      <c r="L19" s="472">
        <v>0</v>
      </c>
      <c r="M19" s="471">
        <v>0</v>
      </c>
      <c r="N19" s="447">
        <v>0</v>
      </c>
      <c r="O19" s="447">
        <v>0</v>
      </c>
      <c r="P19" s="447">
        <v>0</v>
      </c>
      <c r="Q19" s="447">
        <v>0</v>
      </c>
      <c r="R19" s="447">
        <v>0</v>
      </c>
      <c r="S19" s="472">
        <v>0</v>
      </c>
      <c r="T19" s="474">
        <v>0</v>
      </c>
      <c r="U19" s="474">
        <v>0</v>
      </c>
      <c r="V19" s="475">
        <f t="shared" si="0"/>
        <v>0</v>
      </c>
    </row>
    <row r="20" spans="1:22" x14ac:dyDescent="0.25">
      <c r="A20" s="469">
        <v>14</v>
      </c>
      <c r="B20" s="470" t="s">
        <v>421</v>
      </c>
      <c r="C20" s="471">
        <v>0</v>
      </c>
      <c r="D20" s="447">
        <v>0</v>
      </c>
      <c r="E20" s="447">
        <v>0</v>
      </c>
      <c r="F20" s="447">
        <v>0</v>
      </c>
      <c r="G20" s="447">
        <v>0</v>
      </c>
      <c r="H20" s="447">
        <v>0</v>
      </c>
      <c r="I20" s="447">
        <v>0</v>
      </c>
      <c r="J20" s="447">
        <v>0</v>
      </c>
      <c r="K20" s="447">
        <v>0</v>
      </c>
      <c r="L20" s="472">
        <v>0</v>
      </c>
      <c r="M20" s="471">
        <v>0</v>
      </c>
      <c r="N20" s="447">
        <v>0</v>
      </c>
      <c r="O20" s="447">
        <v>0</v>
      </c>
      <c r="P20" s="447">
        <v>0</v>
      </c>
      <c r="Q20" s="447">
        <v>0</v>
      </c>
      <c r="R20" s="447">
        <v>0</v>
      </c>
      <c r="S20" s="472">
        <v>0</v>
      </c>
      <c r="T20" s="474">
        <v>0</v>
      </c>
      <c r="U20" s="474">
        <v>0</v>
      </c>
      <c r="V20" s="475">
        <f t="shared" si="0"/>
        <v>0</v>
      </c>
    </row>
    <row r="21" spans="1:22" ht="14.25" thickBot="1" x14ac:dyDescent="0.3">
      <c r="A21" s="451"/>
      <c r="B21" s="476" t="s">
        <v>96</v>
      </c>
      <c r="C21" s="477">
        <f>SUM(C7:C20)</f>
        <v>0</v>
      </c>
      <c r="D21" s="453">
        <f t="shared" ref="D21:V21" si="1">SUM(D7:D20)</f>
        <v>0</v>
      </c>
      <c r="E21" s="453">
        <f t="shared" si="1"/>
        <v>0</v>
      </c>
      <c r="F21" s="453">
        <f t="shared" si="1"/>
        <v>0</v>
      </c>
      <c r="G21" s="453">
        <f t="shared" si="1"/>
        <v>0</v>
      </c>
      <c r="H21" s="453">
        <f t="shared" si="1"/>
        <v>0</v>
      </c>
      <c r="I21" s="453">
        <f t="shared" si="1"/>
        <v>0</v>
      </c>
      <c r="J21" s="453">
        <f t="shared" si="1"/>
        <v>0</v>
      </c>
      <c r="K21" s="453">
        <f t="shared" si="1"/>
        <v>0</v>
      </c>
      <c r="L21" s="478">
        <f t="shared" si="1"/>
        <v>0</v>
      </c>
      <c r="M21" s="477">
        <f t="shared" si="1"/>
        <v>0</v>
      </c>
      <c r="N21" s="453">
        <f t="shared" si="1"/>
        <v>0</v>
      </c>
      <c r="O21" s="453">
        <f t="shared" si="1"/>
        <v>0</v>
      </c>
      <c r="P21" s="453">
        <f t="shared" si="1"/>
        <v>0</v>
      </c>
      <c r="Q21" s="453">
        <f t="shared" si="1"/>
        <v>0</v>
      </c>
      <c r="R21" s="453">
        <f t="shared" si="1"/>
        <v>0</v>
      </c>
      <c r="S21" s="478">
        <f t="shared" si="1"/>
        <v>0</v>
      </c>
      <c r="T21" s="478">
        <f>SUM(T7:T20)</f>
        <v>0</v>
      </c>
      <c r="U21" s="478">
        <f t="shared" si="1"/>
        <v>0</v>
      </c>
      <c r="V21" s="479">
        <f t="shared" si="1"/>
        <v>0</v>
      </c>
    </row>
    <row r="22" spans="1:22" x14ac:dyDescent="0.25">
      <c r="B22" s="243"/>
    </row>
    <row r="24" spans="1:22" x14ac:dyDescent="0.25">
      <c r="C24" s="480"/>
      <c r="D24" s="480"/>
      <c r="E24" s="480"/>
    </row>
    <row r="25" spans="1:22" x14ac:dyDescent="0.25">
      <c r="A25" s="301"/>
      <c r="B25" s="301"/>
      <c r="D25" s="480"/>
      <c r="E25" s="480"/>
    </row>
    <row r="26" spans="1:22" x14ac:dyDescent="0.25">
      <c r="A26" s="301"/>
      <c r="B26" s="481"/>
      <c r="D26" s="480"/>
      <c r="E26" s="480"/>
    </row>
    <row r="27" spans="1:22" x14ac:dyDescent="0.25">
      <c r="A27" s="301"/>
      <c r="B27" s="301"/>
      <c r="D27" s="480"/>
      <c r="E27" s="480"/>
    </row>
    <row r="28" spans="1:22" x14ac:dyDescent="0.25">
      <c r="A28" s="301"/>
      <c r="B28" s="481"/>
      <c r="D28" s="480"/>
      <c r="E28" s="480"/>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A203-EC88-4B83-B4AA-B7AAF2280DF8}">
  <dimension ref="A1:I28"/>
  <sheetViews>
    <sheetView zoomScaleNormal="100" workbookViewId="0">
      <pane xSplit="1" ySplit="7" topLeftCell="B8" activePane="bottomRight" state="frozen"/>
      <selection activeCell="D46" sqref="D46"/>
      <selection pane="topRight" activeCell="D46" sqref="D46"/>
      <selection pane="bottomLeft" activeCell="D46" sqref="D46"/>
      <selection pane="bottomRight" activeCell="C8" sqref="C8:H22"/>
    </sheetView>
  </sheetViews>
  <sheetFormatPr defaultColWidth="9.140625" defaultRowHeight="13.5" x14ac:dyDescent="0.25"/>
  <cols>
    <col min="1" max="1" width="10.5703125" style="22" bestFit="1" customWidth="1"/>
    <col min="2" max="2" width="101.85546875" style="22" customWidth="1"/>
    <col min="3" max="3" width="13.7109375" style="22" customWidth="1"/>
    <col min="4" max="4" width="14.85546875" style="22" bestFit="1" customWidth="1"/>
    <col min="5" max="5" width="17.7109375" style="22" customWidth="1"/>
    <col min="6" max="6" width="15.85546875" style="22" customWidth="1"/>
    <col min="7" max="7" width="22.85546875" style="22" customWidth="1"/>
    <col min="8" max="8" width="15.28515625" style="22" customWidth="1"/>
    <col min="9" max="16384" width="9.140625" style="219"/>
  </cols>
  <sheetData>
    <row r="1" spans="1:9" x14ac:dyDescent="0.25">
      <c r="A1" s="22" t="s">
        <v>41</v>
      </c>
      <c r="B1" s="22" t="str">
        <f>Info!C2</f>
        <v>სს სილქ ბანკი</v>
      </c>
    </row>
    <row r="2" spans="1:9" x14ac:dyDescent="0.25">
      <c r="A2" s="22" t="s">
        <v>42</v>
      </c>
      <c r="B2" s="26">
        <f>'1. key ratios'!B2</f>
        <v>45382</v>
      </c>
    </row>
    <row r="4" spans="1:9" ht="40.5" customHeight="1" thickBot="1" x14ac:dyDescent="0.3">
      <c r="A4" s="22" t="s">
        <v>446</v>
      </c>
      <c r="B4" s="324" t="s">
        <v>447</v>
      </c>
    </row>
    <row r="5" spans="1:9" x14ac:dyDescent="0.25">
      <c r="A5" s="455"/>
      <c r="B5" s="482"/>
      <c r="C5" s="483" t="s">
        <v>288</v>
      </c>
      <c r="D5" s="483" t="s">
        <v>289</v>
      </c>
      <c r="E5" s="483" t="s">
        <v>290</v>
      </c>
      <c r="F5" s="483" t="s">
        <v>390</v>
      </c>
      <c r="G5" s="484" t="s">
        <v>391</v>
      </c>
      <c r="H5" s="485" t="s">
        <v>392</v>
      </c>
      <c r="I5" s="486"/>
    </row>
    <row r="6" spans="1:9" ht="15" customHeight="1" x14ac:dyDescent="0.25">
      <c r="A6" s="437"/>
      <c r="B6" s="487"/>
      <c r="C6" s="438" t="s">
        <v>448</v>
      </c>
      <c r="D6" s="488" t="s">
        <v>449</v>
      </c>
      <c r="E6" s="489"/>
      <c r="F6" s="438" t="s">
        <v>450</v>
      </c>
      <c r="G6" s="438" t="s">
        <v>451</v>
      </c>
      <c r="H6" s="490" t="s">
        <v>452</v>
      </c>
      <c r="I6" s="486"/>
    </row>
    <row r="7" spans="1:9" ht="81" x14ac:dyDescent="0.25">
      <c r="A7" s="437"/>
      <c r="B7" s="487"/>
      <c r="C7" s="442"/>
      <c r="D7" s="491" t="s">
        <v>453</v>
      </c>
      <c r="E7" s="491" t="s">
        <v>454</v>
      </c>
      <c r="F7" s="442"/>
      <c r="G7" s="442"/>
      <c r="H7" s="492"/>
      <c r="I7" s="486"/>
    </row>
    <row r="8" spans="1:9" x14ac:dyDescent="0.25">
      <c r="A8" s="493">
        <v>1</v>
      </c>
      <c r="B8" s="338" t="s">
        <v>408</v>
      </c>
      <c r="C8" s="447">
        <v>27806913.851369083</v>
      </c>
      <c r="D8" s="447"/>
      <c r="E8" s="447"/>
      <c r="F8" s="447">
        <v>2291929.2700000014</v>
      </c>
      <c r="G8" s="448">
        <v>2291929.2700000014</v>
      </c>
      <c r="H8" s="494">
        <f>G8/(C8+E8)</f>
        <v>8.2423000346266664E-2</v>
      </c>
    </row>
    <row r="9" spans="1:9" ht="15" customHeight="1" x14ac:dyDescent="0.25">
      <c r="A9" s="493">
        <v>2</v>
      </c>
      <c r="B9" s="338" t="s">
        <v>409</v>
      </c>
      <c r="C9" s="447">
        <v>0</v>
      </c>
      <c r="D9" s="447"/>
      <c r="E9" s="447"/>
      <c r="F9" s="447">
        <v>0</v>
      </c>
      <c r="G9" s="448">
        <v>0</v>
      </c>
      <c r="H9" s="494" t="e">
        <f t="shared" ref="H9:H21" si="0">G9/(C9+E9)</f>
        <v>#DIV/0!</v>
      </c>
    </row>
    <row r="10" spans="1:9" x14ac:dyDescent="0.25">
      <c r="A10" s="493">
        <v>3</v>
      </c>
      <c r="B10" s="338" t="s">
        <v>410</v>
      </c>
      <c r="C10" s="447">
        <v>0</v>
      </c>
      <c r="D10" s="447"/>
      <c r="E10" s="447"/>
      <c r="F10" s="447">
        <v>0</v>
      </c>
      <c r="G10" s="448">
        <v>0</v>
      </c>
      <c r="H10" s="494" t="e">
        <f t="shared" si="0"/>
        <v>#DIV/0!</v>
      </c>
    </row>
    <row r="11" spans="1:9" x14ac:dyDescent="0.25">
      <c r="A11" s="493">
        <v>4</v>
      </c>
      <c r="B11" s="338" t="s">
        <v>411</v>
      </c>
      <c r="C11" s="447">
        <v>0</v>
      </c>
      <c r="D11" s="447"/>
      <c r="E11" s="447"/>
      <c r="F11" s="447">
        <v>0</v>
      </c>
      <c r="G11" s="448">
        <v>0</v>
      </c>
      <c r="H11" s="494" t="e">
        <f t="shared" si="0"/>
        <v>#DIV/0!</v>
      </c>
    </row>
    <row r="12" spans="1:9" x14ac:dyDescent="0.25">
      <c r="A12" s="493">
        <v>5</v>
      </c>
      <c r="B12" s="338" t="s">
        <v>412</v>
      </c>
      <c r="C12" s="447">
        <v>0</v>
      </c>
      <c r="D12" s="447"/>
      <c r="E12" s="447"/>
      <c r="F12" s="447">
        <v>0</v>
      </c>
      <c r="G12" s="448">
        <v>0</v>
      </c>
      <c r="H12" s="494" t="e">
        <f t="shared" si="0"/>
        <v>#DIV/0!</v>
      </c>
    </row>
    <row r="13" spans="1:9" x14ac:dyDescent="0.25">
      <c r="A13" s="493">
        <v>6</v>
      </c>
      <c r="B13" s="338" t="s">
        <v>413</v>
      </c>
      <c r="C13" s="447">
        <v>49909872.970488496</v>
      </c>
      <c r="D13" s="447"/>
      <c r="E13" s="447"/>
      <c r="F13" s="447">
        <v>12568866.818097694</v>
      </c>
      <c r="G13" s="448">
        <v>12568866.818097694</v>
      </c>
      <c r="H13" s="494">
        <f t="shared" si="0"/>
        <v>0.25183127245243869</v>
      </c>
    </row>
    <row r="14" spans="1:9" x14ac:dyDescent="0.25">
      <c r="A14" s="493">
        <v>7</v>
      </c>
      <c r="B14" s="338" t="s">
        <v>414</v>
      </c>
      <c r="C14" s="447">
        <v>52498371.770000003</v>
      </c>
      <c r="D14" s="447">
        <v>6876038.9307002872</v>
      </c>
      <c r="E14" s="447">
        <v>3637469.4716671063</v>
      </c>
      <c r="F14" s="447">
        <v>52498371.770000003</v>
      </c>
      <c r="G14" s="448">
        <v>52498371.770000003</v>
      </c>
      <c r="H14" s="494">
        <f>G14/(C14+E14)</f>
        <v>0.93520236997949946</v>
      </c>
    </row>
    <row r="15" spans="1:9" x14ac:dyDescent="0.25">
      <c r="A15" s="493">
        <v>8</v>
      </c>
      <c r="B15" s="338" t="s">
        <v>415</v>
      </c>
      <c r="C15" s="447">
        <v>17077247.75</v>
      </c>
      <c r="D15" s="447"/>
      <c r="E15" s="447"/>
      <c r="F15" s="447">
        <v>17077247.75</v>
      </c>
      <c r="G15" s="448">
        <v>17077247.75</v>
      </c>
      <c r="H15" s="494">
        <f t="shared" si="0"/>
        <v>1</v>
      </c>
    </row>
    <row r="16" spans="1:9" x14ac:dyDescent="0.25">
      <c r="A16" s="493">
        <v>9</v>
      </c>
      <c r="B16" s="338" t="s">
        <v>416</v>
      </c>
      <c r="C16" s="447">
        <v>0</v>
      </c>
      <c r="D16" s="447"/>
      <c r="E16" s="447"/>
      <c r="F16" s="447">
        <v>0</v>
      </c>
      <c r="G16" s="448">
        <v>0</v>
      </c>
      <c r="H16" s="494" t="e">
        <f t="shared" si="0"/>
        <v>#DIV/0!</v>
      </c>
    </row>
    <row r="17" spans="1:8" x14ac:dyDescent="0.25">
      <c r="A17" s="493">
        <v>10</v>
      </c>
      <c r="B17" s="338" t="s">
        <v>417</v>
      </c>
      <c r="C17" s="447">
        <v>147295.26</v>
      </c>
      <c r="D17" s="447"/>
      <c r="E17" s="447"/>
      <c r="F17" s="447">
        <v>147295.26</v>
      </c>
      <c r="G17" s="448">
        <v>147295.26</v>
      </c>
      <c r="H17" s="494">
        <f t="shared" si="0"/>
        <v>1</v>
      </c>
    </row>
    <row r="18" spans="1:8" x14ac:dyDescent="0.25">
      <c r="A18" s="493">
        <v>11</v>
      </c>
      <c r="B18" s="338" t="s">
        <v>418</v>
      </c>
      <c r="C18" s="447">
        <v>0</v>
      </c>
      <c r="D18" s="447"/>
      <c r="E18" s="447"/>
      <c r="F18" s="447">
        <v>0</v>
      </c>
      <c r="G18" s="448">
        <v>0</v>
      </c>
      <c r="H18" s="494" t="e">
        <f t="shared" si="0"/>
        <v>#DIV/0!</v>
      </c>
    </row>
    <row r="19" spans="1:8" x14ac:dyDescent="0.25">
      <c r="A19" s="493">
        <v>12</v>
      </c>
      <c r="B19" s="338" t="s">
        <v>419</v>
      </c>
      <c r="C19" s="447">
        <v>0</v>
      </c>
      <c r="D19" s="447"/>
      <c r="E19" s="447"/>
      <c r="F19" s="447">
        <v>0</v>
      </c>
      <c r="G19" s="448">
        <v>0</v>
      </c>
      <c r="H19" s="494" t="e">
        <f t="shared" si="0"/>
        <v>#DIV/0!</v>
      </c>
    </row>
    <row r="20" spans="1:8" x14ac:dyDescent="0.25">
      <c r="A20" s="493">
        <v>13</v>
      </c>
      <c r="B20" s="338" t="s">
        <v>420</v>
      </c>
      <c r="C20" s="447">
        <v>0</v>
      </c>
      <c r="D20" s="447"/>
      <c r="E20" s="447"/>
      <c r="F20" s="447">
        <v>0</v>
      </c>
      <c r="G20" s="448">
        <v>0</v>
      </c>
      <c r="H20" s="494" t="e">
        <f t="shared" si="0"/>
        <v>#DIV/0!</v>
      </c>
    </row>
    <row r="21" spans="1:8" x14ac:dyDescent="0.25">
      <c r="A21" s="493">
        <v>14</v>
      </c>
      <c r="B21" s="338" t="s">
        <v>421</v>
      </c>
      <c r="C21" s="447">
        <v>31812460.265174728</v>
      </c>
      <c r="D21" s="447"/>
      <c r="E21" s="447"/>
      <c r="F21" s="447">
        <v>28386121.441174727</v>
      </c>
      <c r="G21" s="448">
        <v>28386121.441174727</v>
      </c>
      <c r="H21" s="494">
        <f t="shared" si="0"/>
        <v>0.8922956981182989</v>
      </c>
    </row>
    <row r="22" spans="1:8" ht="14.25" thickBot="1" x14ac:dyDescent="0.3">
      <c r="A22" s="495"/>
      <c r="B22" s="496" t="s">
        <v>96</v>
      </c>
      <c r="C22" s="453">
        <f>SUM(C8:C21)</f>
        <v>179252161.86703229</v>
      </c>
      <c r="D22" s="453">
        <f>SUM(D8:D21)</f>
        <v>6876038.9307002872</v>
      </c>
      <c r="E22" s="453">
        <f>SUM(E8:E21)</f>
        <v>3637469.4716671063</v>
      </c>
      <c r="F22" s="453">
        <f>SUM(F8:F21)</f>
        <v>112969832.30927244</v>
      </c>
      <c r="G22" s="453">
        <f>SUM(G8:G21)</f>
        <v>112969832.30927244</v>
      </c>
      <c r="H22" s="497">
        <f>G22/(C22+E22)</f>
        <v>0.61769402388952188</v>
      </c>
    </row>
    <row r="24" spans="1:8" s="867" customFormat="1" x14ac:dyDescent="0.25">
      <c r="A24" s="851"/>
      <c r="B24" s="851"/>
      <c r="C24" s="869"/>
      <c r="D24" s="869"/>
      <c r="E24" s="869"/>
      <c r="F24" s="869"/>
      <c r="G24" s="869"/>
      <c r="H24" s="851"/>
    </row>
    <row r="28" spans="1:8" ht="10.5" customHeight="1" x14ac:dyDescent="0.25"/>
  </sheetData>
  <mergeCells count="5">
    <mergeCell ref="C6:C7"/>
    <mergeCell ref="D6:E6"/>
    <mergeCell ref="F6:F7"/>
    <mergeCell ref="G6:G7"/>
    <mergeCell ref="H6:H7"/>
  </mergeCells>
  <pageMargins left="0.7" right="0.7" top="0.75" bottom="0.75" header="0.3" footer="0.3"/>
  <pageSetup orientation="portrait" horizontalDpi="1200" verticalDpi="12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E31C7-4535-462B-A716-23812EA58DB8}">
  <dimension ref="A1:K29"/>
  <sheetViews>
    <sheetView zoomScale="115" zoomScaleNormal="115" workbookViewId="0">
      <pane xSplit="2" ySplit="6" topLeftCell="C7" activePane="bottomRight" state="frozen"/>
      <selection activeCell="D46" sqref="D46"/>
      <selection pane="topRight" activeCell="D46" sqref="D46"/>
      <selection pane="bottomLeft" activeCell="D46" sqref="D46"/>
      <selection pane="bottomRight" activeCell="F23" sqref="F23:K25"/>
    </sheetView>
  </sheetViews>
  <sheetFormatPr defaultColWidth="9.140625" defaultRowHeight="13.5" x14ac:dyDescent="0.25"/>
  <cols>
    <col min="1" max="1" width="10.5703125" style="22" bestFit="1" customWidth="1"/>
    <col min="2" max="2" width="87.140625" style="22" customWidth="1"/>
    <col min="3" max="6" width="12.7109375" style="22" customWidth="1"/>
    <col min="7" max="7" width="15.42578125" style="22" customWidth="1"/>
    <col min="8" max="8" width="14.7109375" style="22" customWidth="1"/>
    <col min="9" max="9" width="15" style="22" customWidth="1"/>
    <col min="10" max="10" width="12.7109375" style="22" customWidth="1"/>
    <col min="11" max="11" width="15" style="22" customWidth="1"/>
    <col min="12" max="16384" width="9.140625" style="22"/>
  </cols>
  <sheetData>
    <row r="1" spans="1:11" x14ac:dyDescent="0.25">
      <c r="A1" s="22" t="s">
        <v>41</v>
      </c>
      <c r="B1" s="22" t="str">
        <f>Info!C2</f>
        <v>სს სილქ ბანკი</v>
      </c>
    </row>
    <row r="2" spans="1:11" x14ac:dyDescent="0.25">
      <c r="A2" s="22" t="s">
        <v>42</v>
      </c>
      <c r="B2" s="26">
        <f>'1. key ratios'!B2</f>
        <v>45382</v>
      </c>
    </row>
    <row r="3" spans="1:11" x14ac:dyDescent="0.25">
      <c r="B3" s="498"/>
    </row>
    <row r="4" spans="1:11" ht="40.5" customHeight="1" thickBot="1" x14ac:dyDescent="0.3">
      <c r="A4" s="22" t="s">
        <v>455</v>
      </c>
      <c r="B4" s="324" t="s">
        <v>27</v>
      </c>
    </row>
    <row r="5" spans="1:11" ht="30" customHeight="1" x14ac:dyDescent="0.25">
      <c r="A5" s="499"/>
      <c r="B5" s="500"/>
      <c r="C5" s="501" t="s">
        <v>456</v>
      </c>
      <c r="D5" s="501"/>
      <c r="E5" s="501"/>
      <c r="F5" s="501" t="s">
        <v>457</v>
      </c>
      <c r="G5" s="501"/>
      <c r="H5" s="501"/>
      <c r="I5" s="501" t="s">
        <v>458</v>
      </c>
      <c r="J5" s="501"/>
      <c r="K5" s="502"/>
    </row>
    <row r="6" spans="1:11" x14ac:dyDescent="0.25">
      <c r="A6" s="503"/>
      <c r="B6" s="504"/>
      <c r="C6" s="491" t="s">
        <v>94</v>
      </c>
      <c r="D6" s="491" t="s">
        <v>459</v>
      </c>
      <c r="E6" s="491" t="s">
        <v>96</v>
      </c>
      <c r="F6" s="491" t="s">
        <v>94</v>
      </c>
      <c r="G6" s="491" t="s">
        <v>459</v>
      </c>
      <c r="H6" s="491" t="s">
        <v>96</v>
      </c>
      <c r="I6" s="491" t="s">
        <v>94</v>
      </c>
      <c r="J6" s="491" t="s">
        <v>459</v>
      </c>
      <c r="K6" s="505" t="s">
        <v>96</v>
      </c>
    </row>
    <row r="7" spans="1:11" x14ac:dyDescent="0.25">
      <c r="A7" s="506" t="s">
        <v>460</v>
      </c>
      <c r="B7" s="507"/>
      <c r="C7" s="507"/>
      <c r="D7" s="507"/>
      <c r="E7" s="507"/>
      <c r="F7" s="507"/>
      <c r="G7" s="507"/>
      <c r="H7" s="507"/>
      <c r="I7" s="507"/>
      <c r="J7" s="507"/>
      <c r="K7" s="508"/>
    </row>
    <row r="8" spans="1:11" x14ac:dyDescent="0.25">
      <c r="A8" s="509">
        <v>1</v>
      </c>
      <c r="B8" s="510" t="s">
        <v>460</v>
      </c>
      <c r="C8" s="511"/>
      <c r="D8" s="511"/>
      <c r="E8" s="511"/>
      <c r="F8" s="512">
        <v>61328112.57</v>
      </c>
      <c r="G8" s="512">
        <v>14744174.860000001</v>
      </c>
      <c r="H8" s="512">
        <f>F8+G8</f>
        <v>76072287.430000007</v>
      </c>
      <c r="I8" s="512">
        <v>24492967.809999999</v>
      </c>
      <c r="J8" s="512">
        <v>4303508.55</v>
      </c>
      <c r="K8" s="513">
        <f>I8+J8</f>
        <v>28796476.359999999</v>
      </c>
    </row>
    <row r="9" spans="1:11" x14ac:dyDescent="0.25">
      <c r="A9" s="506" t="s">
        <v>461</v>
      </c>
      <c r="B9" s="507"/>
      <c r="C9" s="507"/>
      <c r="D9" s="507"/>
      <c r="E9" s="507"/>
      <c r="F9" s="514"/>
      <c r="G9" s="514"/>
      <c r="H9" s="514"/>
      <c r="I9" s="514"/>
      <c r="J9" s="514"/>
      <c r="K9" s="515"/>
    </row>
    <row r="10" spans="1:11" x14ac:dyDescent="0.25">
      <c r="A10" s="307">
        <v>2</v>
      </c>
      <c r="B10" s="516" t="s">
        <v>462</v>
      </c>
      <c r="C10" s="153">
        <v>10694990.52</v>
      </c>
      <c r="D10" s="517">
        <v>8703929.4099999983</v>
      </c>
      <c r="E10" s="517">
        <f>C10+D10</f>
        <v>19398919.93</v>
      </c>
      <c r="F10" s="517">
        <v>532023.32209999999</v>
      </c>
      <c r="G10" s="517">
        <v>1758058.4605999994</v>
      </c>
      <c r="H10" s="517">
        <f>F10+G10</f>
        <v>2290081.7826999994</v>
      </c>
      <c r="I10" s="517">
        <v>94048.004499999981</v>
      </c>
      <c r="J10" s="517">
        <v>221737.27449999997</v>
      </c>
      <c r="K10" s="518">
        <f t="shared" ref="K10:K15" si="0">I10+J10</f>
        <v>315785.27899999998</v>
      </c>
    </row>
    <row r="11" spans="1:11" x14ac:dyDescent="0.25">
      <c r="A11" s="307">
        <v>3</v>
      </c>
      <c r="B11" s="516" t="s">
        <v>463</v>
      </c>
      <c r="C11" s="153">
        <v>53226869.579999998</v>
      </c>
      <c r="D11" s="517">
        <v>9489387.8499999996</v>
      </c>
      <c r="E11" s="517">
        <f t="shared" ref="E11:E16" si="1">C11+D11</f>
        <v>62716257.43</v>
      </c>
      <c r="F11" s="517">
        <v>5310231.2740000002</v>
      </c>
      <c r="G11" s="517">
        <v>5681770.5700000003</v>
      </c>
      <c r="H11" s="517">
        <f t="shared" ref="H11:H16" si="2">F11+G11</f>
        <v>10992001.844000001</v>
      </c>
      <c r="I11" s="517">
        <v>3262694.5050000004</v>
      </c>
      <c r="J11" s="517">
        <v>3248831.3959999997</v>
      </c>
      <c r="K11" s="518">
        <f t="shared" si="0"/>
        <v>6511525.9010000005</v>
      </c>
    </row>
    <row r="12" spans="1:11" x14ac:dyDescent="0.25">
      <c r="A12" s="307">
        <v>4</v>
      </c>
      <c r="B12" s="516" t="s">
        <v>464</v>
      </c>
      <c r="C12" s="153">
        <v>3674.24</v>
      </c>
      <c r="D12" s="517">
        <v>0</v>
      </c>
      <c r="E12" s="517">
        <f t="shared" si="1"/>
        <v>3674.24</v>
      </c>
      <c r="F12" s="517">
        <v>0</v>
      </c>
      <c r="G12" s="517">
        <v>0</v>
      </c>
      <c r="H12" s="517">
        <f t="shared" si="2"/>
        <v>0</v>
      </c>
      <c r="I12" s="517">
        <v>0</v>
      </c>
      <c r="J12" s="517">
        <v>0</v>
      </c>
      <c r="K12" s="518">
        <f t="shared" si="0"/>
        <v>0</v>
      </c>
    </row>
    <row r="13" spans="1:11" x14ac:dyDescent="0.25">
      <c r="A13" s="307">
        <v>5</v>
      </c>
      <c r="B13" s="516" t="s">
        <v>465</v>
      </c>
      <c r="C13" s="153">
        <v>2338890.71</v>
      </c>
      <c r="D13" s="517">
        <v>3555706.2199999997</v>
      </c>
      <c r="E13" s="517">
        <f t="shared" si="1"/>
        <v>5894596.9299999997</v>
      </c>
      <c r="F13" s="517">
        <v>399688.87690000003</v>
      </c>
      <c r="G13" s="517">
        <v>974761.26774999988</v>
      </c>
      <c r="H13" s="517">
        <f t="shared" si="2"/>
        <v>1374450.1446499999</v>
      </c>
      <c r="I13" s="517">
        <v>142322.579</v>
      </c>
      <c r="J13" s="517">
        <v>269238.02400000003</v>
      </c>
      <c r="K13" s="518">
        <f t="shared" si="0"/>
        <v>411560.603</v>
      </c>
    </row>
    <row r="14" spans="1:11" x14ac:dyDescent="0.25">
      <c r="A14" s="307">
        <v>6</v>
      </c>
      <c r="B14" s="516" t="s">
        <v>466</v>
      </c>
      <c r="C14" s="153">
        <v>0</v>
      </c>
      <c r="D14" s="517">
        <v>0</v>
      </c>
      <c r="E14" s="517">
        <f t="shared" si="1"/>
        <v>0</v>
      </c>
      <c r="F14" s="517"/>
      <c r="G14" s="517"/>
      <c r="H14" s="517">
        <f t="shared" si="2"/>
        <v>0</v>
      </c>
      <c r="I14" s="517">
        <v>0</v>
      </c>
      <c r="J14" s="517">
        <v>0</v>
      </c>
      <c r="K14" s="518">
        <f t="shared" si="0"/>
        <v>0</v>
      </c>
    </row>
    <row r="15" spans="1:11" x14ac:dyDescent="0.25">
      <c r="A15" s="307">
        <v>7</v>
      </c>
      <c r="B15" s="516" t="s">
        <v>467</v>
      </c>
      <c r="C15" s="153">
        <v>4053154.37</v>
      </c>
      <c r="D15" s="517">
        <v>8174730.9499999993</v>
      </c>
      <c r="E15" s="517">
        <f t="shared" si="1"/>
        <v>12227885.32</v>
      </c>
      <c r="F15" s="517">
        <v>2942836.4800000004</v>
      </c>
      <c r="G15" s="517">
        <v>960660.22000000009</v>
      </c>
      <c r="H15" s="517">
        <f t="shared" si="2"/>
        <v>3903496.7000000007</v>
      </c>
      <c r="I15" s="517">
        <v>2942836.4800000004</v>
      </c>
      <c r="J15" s="517">
        <v>960660.22000000009</v>
      </c>
      <c r="K15" s="518">
        <f t="shared" si="0"/>
        <v>3903496.7000000007</v>
      </c>
    </row>
    <row r="16" spans="1:11" x14ac:dyDescent="0.25">
      <c r="A16" s="307">
        <v>8</v>
      </c>
      <c r="B16" s="519" t="s">
        <v>468</v>
      </c>
      <c r="C16" s="153">
        <f>SUM(C10:C15)</f>
        <v>70317579.420000002</v>
      </c>
      <c r="D16" s="153">
        <f>SUM(D10:D15)</f>
        <v>29923754.429999996</v>
      </c>
      <c r="E16" s="517">
        <f t="shared" si="1"/>
        <v>100241333.84999999</v>
      </c>
      <c r="F16" s="517">
        <f>SUM(F10:F15)</f>
        <v>9184779.9530000016</v>
      </c>
      <c r="G16" s="517">
        <f>SUM(G10:G15)</f>
        <v>9375250.5183500014</v>
      </c>
      <c r="H16" s="517">
        <f t="shared" si="2"/>
        <v>18560030.471350003</v>
      </c>
      <c r="I16" s="517">
        <f>SUM(I10:I15)</f>
        <v>6441901.568500001</v>
      </c>
      <c r="J16" s="517">
        <f>SUM(J10:J15)</f>
        <v>4700466.9145</v>
      </c>
      <c r="K16" s="518">
        <f>SUM(K10:K15)</f>
        <v>11142368.483000001</v>
      </c>
    </row>
    <row r="17" spans="1:11" x14ac:dyDescent="0.25">
      <c r="A17" s="506" t="s">
        <v>469</v>
      </c>
      <c r="B17" s="507"/>
      <c r="C17" s="520"/>
      <c r="D17" s="520"/>
      <c r="E17" s="520"/>
      <c r="F17" s="514"/>
      <c r="G17" s="514"/>
      <c r="H17" s="514"/>
      <c r="I17" s="514"/>
      <c r="J17" s="514"/>
      <c r="K17" s="515"/>
    </row>
    <row r="18" spans="1:11" x14ac:dyDescent="0.25">
      <c r="A18" s="307">
        <v>9</v>
      </c>
      <c r="B18" s="516" t="s">
        <v>470</v>
      </c>
      <c r="C18" s="521">
        <v>0</v>
      </c>
      <c r="D18" s="522">
        <v>0</v>
      </c>
      <c r="E18" s="522">
        <f>C18+D18</f>
        <v>0</v>
      </c>
      <c r="F18" s="517">
        <v>0</v>
      </c>
      <c r="G18" s="517">
        <v>0</v>
      </c>
      <c r="H18" s="517">
        <f>F18+G18</f>
        <v>0</v>
      </c>
      <c r="I18" s="517">
        <v>0</v>
      </c>
      <c r="J18" s="517">
        <v>0</v>
      </c>
      <c r="K18" s="518">
        <f>I18+J18</f>
        <v>0</v>
      </c>
    </row>
    <row r="19" spans="1:11" x14ac:dyDescent="0.25">
      <c r="A19" s="307">
        <v>10</v>
      </c>
      <c r="B19" s="516" t="s">
        <v>471</v>
      </c>
      <c r="C19" s="153">
        <v>65495483.550000004</v>
      </c>
      <c r="D19" s="517">
        <v>18743830.190000001</v>
      </c>
      <c r="E19" s="517">
        <f>C19+D19</f>
        <v>84239313.74000001</v>
      </c>
      <c r="F19" s="517">
        <v>376494.34499999997</v>
      </c>
      <c r="G19" s="517">
        <v>113136.87</v>
      </c>
      <c r="H19" s="517">
        <f>F19+G19</f>
        <v>489631.21499999997</v>
      </c>
      <c r="I19" s="517">
        <v>37211639.105000004</v>
      </c>
      <c r="J19" s="517">
        <v>10762256.100000001</v>
      </c>
      <c r="K19" s="518">
        <f>I19+J19</f>
        <v>47973895.205000006</v>
      </c>
    </row>
    <row r="20" spans="1:11" x14ac:dyDescent="0.25">
      <c r="A20" s="307">
        <v>11</v>
      </c>
      <c r="B20" s="516" t="s">
        <v>472</v>
      </c>
      <c r="C20" s="153">
        <v>10615766.189999998</v>
      </c>
      <c r="D20" s="517">
        <v>1880775.98</v>
      </c>
      <c r="E20" s="517">
        <f>C20+D20</f>
        <v>12496542.169999998</v>
      </c>
      <c r="F20" s="517">
        <v>322831.09000000003</v>
      </c>
      <c r="G20" s="517">
        <v>1858535.27</v>
      </c>
      <c r="H20" s="517">
        <f>F20+G20</f>
        <v>2181366.36</v>
      </c>
      <c r="I20" s="517">
        <v>322831.09000000003</v>
      </c>
      <c r="J20" s="517">
        <v>1858535.27</v>
      </c>
      <c r="K20" s="518">
        <f>I20+J20</f>
        <v>2181366.36</v>
      </c>
    </row>
    <row r="21" spans="1:11" ht="14.25" thickBot="1" x14ac:dyDescent="0.3">
      <c r="A21" s="523">
        <v>12</v>
      </c>
      <c r="B21" s="524" t="s">
        <v>473</v>
      </c>
      <c r="C21" s="525">
        <f>SUM(C18:C20)</f>
        <v>76111249.74000001</v>
      </c>
      <c r="D21" s="525">
        <f>SUM(D18:D20)</f>
        <v>20624606.170000002</v>
      </c>
      <c r="E21" s="525">
        <f>SUM(E18:E20)</f>
        <v>96735855.910000011</v>
      </c>
      <c r="F21" s="526">
        <f>SUM(F18:F20)</f>
        <v>699325.43500000006</v>
      </c>
      <c r="G21" s="526">
        <f>SUM(G18:G20)</f>
        <v>1971672.1400000001</v>
      </c>
      <c r="H21" s="517">
        <f>F21+G21</f>
        <v>2670997.5750000002</v>
      </c>
      <c r="I21" s="526">
        <f>SUM(I18:I20)</f>
        <v>37534470.195000008</v>
      </c>
      <c r="J21" s="526">
        <f>SUM(J18:J20)</f>
        <v>12620791.370000001</v>
      </c>
      <c r="K21" s="527">
        <f>SUM(K18:K20)</f>
        <v>50155261.565000005</v>
      </c>
    </row>
    <row r="22" spans="1:11" ht="38.25" customHeight="1" thickBot="1" x14ac:dyDescent="0.3">
      <c r="A22" s="528"/>
      <c r="B22" s="529"/>
      <c r="C22" s="530"/>
      <c r="D22" s="530"/>
      <c r="E22" s="530"/>
      <c r="F22" s="531" t="s">
        <v>474</v>
      </c>
      <c r="G22" s="501"/>
      <c r="H22" s="501"/>
      <c r="I22" s="531" t="s">
        <v>475</v>
      </c>
      <c r="J22" s="501"/>
      <c r="K22" s="502"/>
    </row>
    <row r="23" spans="1:11" x14ac:dyDescent="0.25">
      <c r="A23" s="532">
        <v>13</v>
      </c>
      <c r="B23" s="533" t="s">
        <v>460</v>
      </c>
      <c r="C23" s="534"/>
      <c r="D23" s="535"/>
      <c r="E23" s="535"/>
      <c r="F23" s="536">
        <f t="shared" ref="F23:K23" si="3">F8</f>
        <v>61328112.57</v>
      </c>
      <c r="G23" s="536">
        <f t="shared" si="3"/>
        <v>14744174.860000001</v>
      </c>
      <c r="H23" s="536">
        <f t="shared" si="3"/>
        <v>76072287.430000007</v>
      </c>
      <c r="I23" s="537">
        <f t="shared" si="3"/>
        <v>24492967.809999999</v>
      </c>
      <c r="J23" s="537">
        <f t="shared" si="3"/>
        <v>4303508.55</v>
      </c>
      <c r="K23" s="538">
        <f t="shared" si="3"/>
        <v>28796476.359999999</v>
      </c>
    </row>
    <row r="24" spans="1:11" ht="14.25" thickBot="1" x14ac:dyDescent="0.3">
      <c r="A24" s="539">
        <v>14</v>
      </c>
      <c r="B24" s="540" t="s">
        <v>476</v>
      </c>
      <c r="C24" s="541"/>
      <c r="D24" s="542"/>
      <c r="E24" s="543"/>
      <c r="F24" s="544">
        <v>8485454.5180000011</v>
      </c>
      <c r="G24" s="544">
        <v>7403578.3783499999</v>
      </c>
      <c r="H24" s="544">
        <f>MAX(H16-H21,H16*0.25)</f>
        <v>15889032.896350004</v>
      </c>
      <c r="I24" s="545">
        <v>1610475.392125</v>
      </c>
      <c r="J24" s="545">
        <v>1175116.728625</v>
      </c>
      <c r="K24" s="546">
        <f>MAX(K16-K21,K16*0.25)</f>
        <v>2785592.1207500002</v>
      </c>
    </row>
    <row r="25" spans="1:11" ht="14.25" thickBot="1" x14ac:dyDescent="0.3">
      <c r="A25" s="547">
        <v>15</v>
      </c>
      <c r="B25" s="548" t="s">
        <v>85</v>
      </c>
      <c r="C25" s="549"/>
      <c r="D25" s="550"/>
      <c r="E25" s="550"/>
      <c r="F25" s="551">
        <f t="shared" ref="F25:K25" si="4">IFERROR(F23/F24,0)</f>
        <v>7.2274399020000724</v>
      </c>
      <c r="G25" s="551">
        <f t="shared" si="4"/>
        <v>1.9914930465402818</v>
      </c>
      <c r="H25" s="551">
        <f t="shared" si="4"/>
        <v>4.7877229486682715</v>
      </c>
      <c r="I25" s="551">
        <f t="shared" si="4"/>
        <v>15.208532790856163</v>
      </c>
      <c r="J25" s="551">
        <f t="shared" si="4"/>
        <v>3.6621966526129879</v>
      </c>
      <c r="K25" s="552">
        <f t="shared" si="4"/>
        <v>10.337649990281692</v>
      </c>
    </row>
    <row r="28" spans="1:11" ht="40.5" x14ac:dyDescent="0.25">
      <c r="B28" s="128" t="s">
        <v>477</v>
      </c>
    </row>
    <row r="29" spans="1:11" x14ac:dyDescent="0.25">
      <c r="F29" s="553"/>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7D0B-9CBF-4FD2-A8F2-2A371851148D}">
  <dimension ref="A1:AA23"/>
  <sheetViews>
    <sheetView workbookViewId="0">
      <pane xSplit="1" ySplit="5" topLeftCell="B6" activePane="bottomRight" state="frozen"/>
      <selection activeCell="D46" sqref="D46"/>
      <selection pane="topRight" activeCell="D46" sqref="D46"/>
      <selection pane="bottomLeft" activeCell="D46" sqref="D46"/>
      <selection pane="bottomRight" activeCell="C8" sqref="C8"/>
    </sheetView>
  </sheetViews>
  <sheetFormatPr defaultColWidth="9.140625" defaultRowHeight="15" x14ac:dyDescent="0.3"/>
  <cols>
    <col min="1" max="1" width="10.5703125" style="387" bestFit="1" customWidth="1"/>
    <col min="2" max="2" width="95" style="387" customWidth="1"/>
    <col min="3" max="3" width="12.5703125" style="387" bestFit="1" customWidth="1"/>
    <col min="4" max="4" width="10" style="387" bestFit="1" customWidth="1"/>
    <col min="5" max="5" width="18.28515625" style="387" bestFit="1" customWidth="1"/>
    <col min="6" max="6" width="10.7109375" style="387" customWidth="1"/>
    <col min="7" max="7" width="16" style="387" customWidth="1"/>
    <col min="8" max="13" width="10.7109375" style="387" customWidth="1"/>
    <col min="14" max="14" width="22" style="387" customWidth="1"/>
    <col min="15" max="16384" width="9.140625" style="219"/>
  </cols>
  <sheetData>
    <row r="1" spans="1:27" x14ac:dyDescent="0.3">
      <c r="A1" s="22" t="s">
        <v>41</v>
      </c>
      <c r="B1" s="387" t="str">
        <f>Info!C2</f>
        <v>სს სილქ ბანკი</v>
      </c>
    </row>
    <row r="2" spans="1:27" ht="14.25" customHeight="1" x14ac:dyDescent="0.3">
      <c r="A2" s="387" t="s">
        <v>42</v>
      </c>
      <c r="B2" s="26">
        <f>'1. key ratios'!B2</f>
        <v>45382</v>
      </c>
    </row>
    <row r="3" spans="1:27" ht="14.25" customHeight="1" x14ac:dyDescent="0.3"/>
    <row r="4" spans="1:27" ht="40.5" customHeight="1" thickBot="1" x14ac:dyDescent="0.35">
      <c r="A4" s="22" t="s">
        <v>478</v>
      </c>
      <c r="B4" s="554" t="s">
        <v>28</v>
      </c>
    </row>
    <row r="5" spans="1:27" s="559" customFormat="1" ht="13.5" x14ac:dyDescent="0.25">
      <c r="A5" s="555"/>
      <c r="B5" s="556"/>
      <c r="C5" s="557" t="s">
        <v>288</v>
      </c>
      <c r="D5" s="557" t="s">
        <v>289</v>
      </c>
      <c r="E5" s="557" t="s">
        <v>290</v>
      </c>
      <c r="F5" s="557" t="s">
        <v>390</v>
      </c>
      <c r="G5" s="557" t="s">
        <v>391</v>
      </c>
      <c r="H5" s="557" t="s">
        <v>392</v>
      </c>
      <c r="I5" s="557" t="s">
        <v>393</v>
      </c>
      <c r="J5" s="557" t="s">
        <v>394</v>
      </c>
      <c r="K5" s="557" t="s">
        <v>395</v>
      </c>
      <c r="L5" s="557" t="s">
        <v>396</v>
      </c>
      <c r="M5" s="557" t="s">
        <v>397</v>
      </c>
      <c r="N5" s="558" t="s">
        <v>398</v>
      </c>
    </row>
    <row r="6" spans="1:27" ht="75" x14ac:dyDescent="0.3">
      <c r="A6" s="560"/>
      <c r="B6" s="561"/>
      <c r="C6" s="562" t="s">
        <v>479</v>
      </c>
      <c r="D6" s="563" t="s">
        <v>480</v>
      </c>
      <c r="E6" s="564" t="s">
        <v>481</v>
      </c>
      <c r="F6" s="565">
        <v>0</v>
      </c>
      <c r="G6" s="565">
        <v>0.2</v>
      </c>
      <c r="H6" s="565">
        <v>0.35</v>
      </c>
      <c r="I6" s="565">
        <v>0.5</v>
      </c>
      <c r="J6" s="565">
        <v>0.75</v>
      </c>
      <c r="K6" s="565">
        <v>1</v>
      </c>
      <c r="L6" s="565">
        <v>1.5</v>
      </c>
      <c r="M6" s="565">
        <v>2.5</v>
      </c>
      <c r="N6" s="566" t="s">
        <v>28</v>
      </c>
    </row>
    <row r="7" spans="1:27" x14ac:dyDescent="0.3">
      <c r="A7" s="567">
        <v>1</v>
      </c>
      <c r="B7" s="568" t="s">
        <v>482</v>
      </c>
      <c r="C7" s="569">
        <f>SUM(C8:C13)</f>
        <v>17486800</v>
      </c>
      <c r="D7" s="561"/>
      <c r="E7" s="570">
        <f t="shared" ref="E7:M7" si="0">SUM(E8:E13)</f>
        <v>349736</v>
      </c>
      <c r="F7" s="569">
        <f>SUM(F8:F13)</f>
        <v>0</v>
      </c>
      <c r="G7" s="569">
        <f t="shared" si="0"/>
        <v>0</v>
      </c>
      <c r="H7" s="569">
        <f t="shared" si="0"/>
        <v>0</v>
      </c>
      <c r="I7" s="569">
        <f t="shared" si="0"/>
        <v>0</v>
      </c>
      <c r="J7" s="569">
        <f t="shared" si="0"/>
        <v>0</v>
      </c>
      <c r="K7" s="569">
        <f t="shared" si="0"/>
        <v>349736</v>
      </c>
      <c r="L7" s="569">
        <f t="shared" si="0"/>
        <v>0</v>
      </c>
      <c r="M7" s="569">
        <f t="shared" si="0"/>
        <v>0</v>
      </c>
      <c r="N7" s="571">
        <f>SUM(N8:N13)</f>
        <v>349736</v>
      </c>
      <c r="P7" s="230">
        <v>0</v>
      </c>
      <c r="Q7" s="230">
        <v>0</v>
      </c>
      <c r="R7" s="230">
        <v>0</v>
      </c>
      <c r="S7" s="230">
        <v>0</v>
      </c>
      <c r="T7" s="230">
        <v>0</v>
      </c>
      <c r="U7" s="230">
        <v>0</v>
      </c>
      <c r="V7" s="230">
        <v>0</v>
      </c>
      <c r="W7" s="230">
        <v>0</v>
      </c>
      <c r="X7" s="230">
        <v>0</v>
      </c>
      <c r="Y7" s="230">
        <v>0</v>
      </c>
      <c r="Z7" s="230">
        <v>0</v>
      </c>
      <c r="AA7" s="230">
        <v>0</v>
      </c>
    </row>
    <row r="8" spans="1:27" x14ac:dyDescent="0.3">
      <c r="A8" s="567">
        <v>1.1000000000000001</v>
      </c>
      <c r="B8" s="572" t="s">
        <v>483</v>
      </c>
      <c r="C8" s="573">
        <f>'4. Off-balance'!E32</f>
        <v>17486800</v>
      </c>
      <c r="D8" s="574">
        <v>0.02</v>
      </c>
      <c r="E8" s="570">
        <f>C8*D8</f>
        <v>349736</v>
      </c>
      <c r="F8" s="573"/>
      <c r="G8" s="573"/>
      <c r="H8" s="573"/>
      <c r="I8" s="573"/>
      <c r="J8" s="573"/>
      <c r="K8" s="573">
        <f>E8</f>
        <v>349736</v>
      </c>
      <c r="L8" s="573"/>
      <c r="M8" s="573"/>
      <c r="N8" s="571">
        <f t="shared" ref="N8:N13" si="1">SUMPRODUCT($F$6:$M$6,F8:M8)</f>
        <v>349736</v>
      </c>
      <c r="P8" s="230">
        <v>0</v>
      </c>
      <c r="Q8" s="230">
        <v>0</v>
      </c>
      <c r="R8" s="230">
        <v>0</v>
      </c>
      <c r="S8" s="230">
        <v>0</v>
      </c>
      <c r="T8" s="230">
        <v>0</v>
      </c>
      <c r="U8" s="230">
        <v>0</v>
      </c>
      <c r="V8" s="230">
        <v>0</v>
      </c>
      <c r="W8" s="230">
        <v>0</v>
      </c>
      <c r="X8" s="230">
        <v>0</v>
      </c>
      <c r="Y8" s="230">
        <v>0</v>
      </c>
      <c r="Z8" s="230">
        <v>0</v>
      </c>
      <c r="AA8" s="230">
        <v>0</v>
      </c>
    </row>
    <row r="9" spans="1:27" x14ac:dyDescent="0.3">
      <c r="A9" s="567">
        <v>1.2</v>
      </c>
      <c r="B9" s="572" t="s">
        <v>484</v>
      </c>
      <c r="C9" s="573">
        <v>0</v>
      </c>
      <c r="D9" s="574">
        <v>0.05</v>
      </c>
      <c r="E9" s="570">
        <f>C9*D9</f>
        <v>0</v>
      </c>
      <c r="F9" s="573"/>
      <c r="G9" s="573"/>
      <c r="H9" s="573"/>
      <c r="I9" s="573"/>
      <c r="J9" s="573"/>
      <c r="K9" s="573"/>
      <c r="L9" s="573"/>
      <c r="M9" s="573"/>
      <c r="N9" s="571">
        <f t="shared" si="1"/>
        <v>0</v>
      </c>
      <c r="P9" s="230">
        <v>0</v>
      </c>
      <c r="Q9" s="230">
        <v>0</v>
      </c>
      <c r="R9" s="230">
        <v>0</v>
      </c>
      <c r="S9" s="230">
        <v>0</v>
      </c>
      <c r="T9" s="230">
        <v>0</v>
      </c>
      <c r="U9" s="230">
        <v>0</v>
      </c>
      <c r="V9" s="230">
        <v>0</v>
      </c>
      <c r="W9" s="230">
        <v>0</v>
      </c>
      <c r="X9" s="230">
        <v>0</v>
      </c>
      <c r="Y9" s="230">
        <v>0</v>
      </c>
      <c r="Z9" s="230">
        <v>0</v>
      </c>
      <c r="AA9" s="230">
        <v>0</v>
      </c>
    </row>
    <row r="10" spans="1:27" x14ac:dyDescent="0.3">
      <c r="A10" s="567">
        <v>1.3</v>
      </c>
      <c r="B10" s="572" t="s">
        <v>485</v>
      </c>
      <c r="C10" s="573">
        <v>0</v>
      </c>
      <c r="D10" s="574">
        <v>0.08</v>
      </c>
      <c r="E10" s="570">
        <f>C10*D10</f>
        <v>0</v>
      </c>
      <c r="F10" s="573"/>
      <c r="G10" s="573"/>
      <c r="H10" s="573"/>
      <c r="I10" s="573"/>
      <c r="J10" s="573"/>
      <c r="K10" s="573"/>
      <c r="L10" s="573"/>
      <c r="M10" s="573"/>
      <c r="N10" s="571">
        <f t="shared" si="1"/>
        <v>0</v>
      </c>
      <c r="P10" s="230">
        <v>0</v>
      </c>
      <c r="Q10" s="230">
        <v>0</v>
      </c>
      <c r="R10" s="230">
        <v>0</v>
      </c>
      <c r="S10" s="230">
        <v>0</v>
      </c>
      <c r="T10" s="230">
        <v>0</v>
      </c>
      <c r="U10" s="230">
        <v>0</v>
      </c>
      <c r="V10" s="230">
        <v>0</v>
      </c>
      <c r="W10" s="230">
        <v>0</v>
      </c>
      <c r="X10" s="230">
        <v>0</v>
      </c>
      <c r="Y10" s="230">
        <v>0</v>
      </c>
      <c r="Z10" s="230">
        <v>0</v>
      </c>
      <c r="AA10" s="230">
        <v>0</v>
      </c>
    </row>
    <row r="11" spans="1:27" x14ac:dyDescent="0.3">
      <c r="A11" s="567">
        <v>1.4</v>
      </c>
      <c r="B11" s="572" t="s">
        <v>486</v>
      </c>
      <c r="C11" s="573">
        <v>0</v>
      </c>
      <c r="D11" s="574">
        <v>0.11</v>
      </c>
      <c r="E11" s="570">
        <f>C11*D11</f>
        <v>0</v>
      </c>
      <c r="F11" s="573"/>
      <c r="G11" s="573"/>
      <c r="H11" s="573"/>
      <c r="I11" s="573"/>
      <c r="J11" s="573"/>
      <c r="K11" s="573"/>
      <c r="L11" s="573"/>
      <c r="M11" s="573"/>
      <c r="N11" s="571">
        <f t="shared" si="1"/>
        <v>0</v>
      </c>
      <c r="P11" s="230">
        <v>0</v>
      </c>
      <c r="Q11" s="230">
        <v>0</v>
      </c>
      <c r="R11" s="230">
        <v>0</v>
      </c>
      <c r="S11" s="230">
        <v>0</v>
      </c>
      <c r="T11" s="230">
        <v>0</v>
      </c>
      <c r="U11" s="230">
        <v>0</v>
      </c>
      <c r="V11" s="230">
        <v>0</v>
      </c>
      <c r="W11" s="230">
        <v>0</v>
      </c>
      <c r="X11" s="230">
        <v>0</v>
      </c>
      <c r="Y11" s="230">
        <v>0</v>
      </c>
      <c r="Z11" s="230">
        <v>0</v>
      </c>
      <c r="AA11" s="230">
        <v>0</v>
      </c>
    </row>
    <row r="12" spans="1:27" x14ac:dyDescent="0.3">
      <c r="A12" s="567">
        <v>1.5</v>
      </c>
      <c r="B12" s="572" t="s">
        <v>487</v>
      </c>
      <c r="C12" s="573">
        <v>0</v>
      </c>
      <c r="D12" s="574">
        <v>0.14000000000000001</v>
      </c>
      <c r="E12" s="570">
        <f>C12*D12</f>
        <v>0</v>
      </c>
      <c r="F12" s="573"/>
      <c r="G12" s="573"/>
      <c r="H12" s="573"/>
      <c r="I12" s="573"/>
      <c r="J12" s="573"/>
      <c r="K12" s="573"/>
      <c r="L12" s="573"/>
      <c r="M12" s="573"/>
      <c r="N12" s="571">
        <f t="shared" si="1"/>
        <v>0</v>
      </c>
      <c r="P12" s="230">
        <v>0</v>
      </c>
      <c r="Q12" s="230">
        <v>0</v>
      </c>
      <c r="R12" s="230">
        <v>0</v>
      </c>
      <c r="S12" s="230">
        <v>0</v>
      </c>
      <c r="T12" s="230">
        <v>0</v>
      </c>
      <c r="U12" s="230">
        <v>0</v>
      </c>
      <c r="V12" s="230">
        <v>0</v>
      </c>
      <c r="W12" s="230">
        <v>0</v>
      </c>
      <c r="X12" s="230">
        <v>0</v>
      </c>
      <c r="Y12" s="230">
        <v>0</v>
      </c>
      <c r="Z12" s="230">
        <v>0</v>
      </c>
      <c r="AA12" s="230">
        <v>0</v>
      </c>
    </row>
    <row r="13" spans="1:27" x14ac:dyDescent="0.3">
      <c r="A13" s="567">
        <v>1.6</v>
      </c>
      <c r="B13" s="575" t="s">
        <v>488</v>
      </c>
      <c r="C13" s="573">
        <v>0</v>
      </c>
      <c r="D13" s="576"/>
      <c r="E13" s="573"/>
      <c r="F13" s="573"/>
      <c r="G13" s="573"/>
      <c r="H13" s="573"/>
      <c r="I13" s="573"/>
      <c r="J13" s="573"/>
      <c r="K13" s="573"/>
      <c r="L13" s="573"/>
      <c r="M13" s="573"/>
      <c r="N13" s="571">
        <f t="shared" si="1"/>
        <v>0</v>
      </c>
      <c r="P13" s="230">
        <v>0</v>
      </c>
      <c r="Q13" s="230">
        <v>0</v>
      </c>
      <c r="R13" s="230">
        <v>0</v>
      </c>
      <c r="S13" s="230">
        <v>0</v>
      </c>
      <c r="T13" s="230">
        <v>0</v>
      </c>
      <c r="U13" s="230">
        <v>0</v>
      </c>
      <c r="V13" s="230">
        <v>0</v>
      </c>
      <c r="W13" s="230">
        <v>0</v>
      </c>
      <c r="X13" s="230">
        <v>0</v>
      </c>
      <c r="Y13" s="230">
        <v>0</v>
      </c>
      <c r="Z13" s="230">
        <v>0</v>
      </c>
      <c r="AA13" s="230">
        <v>0</v>
      </c>
    </row>
    <row r="14" spans="1:27" x14ac:dyDescent="0.3">
      <c r="A14" s="567">
        <v>2</v>
      </c>
      <c r="B14" s="577" t="s">
        <v>489</v>
      </c>
      <c r="C14" s="569">
        <f>SUM(C15:C20)</f>
        <v>0</v>
      </c>
      <c r="D14" s="561"/>
      <c r="E14" s="570">
        <f t="shared" ref="E14:M14" si="2">SUM(E15:E20)</f>
        <v>0</v>
      </c>
      <c r="F14" s="573">
        <f t="shared" si="2"/>
        <v>0</v>
      </c>
      <c r="G14" s="573">
        <f t="shared" si="2"/>
        <v>0</v>
      </c>
      <c r="H14" s="573">
        <f t="shared" si="2"/>
        <v>0</v>
      </c>
      <c r="I14" s="573">
        <f t="shared" si="2"/>
        <v>0</v>
      </c>
      <c r="J14" s="573">
        <f t="shared" si="2"/>
        <v>0</v>
      </c>
      <c r="K14" s="573">
        <f t="shared" si="2"/>
        <v>0</v>
      </c>
      <c r="L14" s="573">
        <f t="shared" si="2"/>
        <v>0</v>
      </c>
      <c r="M14" s="573">
        <f t="shared" si="2"/>
        <v>0</v>
      </c>
      <c r="N14" s="571">
        <f>SUM(N15:N20)</f>
        <v>0</v>
      </c>
      <c r="P14" s="230">
        <v>0</v>
      </c>
      <c r="Q14" s="230">
        <v>0</v>
      </c>
      <c r="R14" s="230">
        <v>0</v>
      </c>
      <c r="S14" s="230">
        <v>0</v>
      </c>
      <c r="T14" s="230">
        <v>0</v>
      </c>
      <c r="U14" s="230">
        <v>0</v>
      </c>
      <c r="V14" s="230">
        <v>0</v>
      </c>
      <c r="W14" s="230">
        <v>0</v>
      </c>
      <c r="X14" s="230">
        <v>0</v>
      </c>
      <c r="Y14" s="230">
        <v>0</v>
      </c>
      <c r="Z14" s="230">
        <v>0</v>
      </c>
      <c r="AA14" s="230">
        <v>0</v>
      </c>
    </row>
    <row r="15" spans="1:27" x14ac:dyDescent="0.3">
      <c r="A15" s="567">
        <v>2.1</v>
      </c>
      <c r="B15" s="575" t="s">
        <v>483</v>
      </c>
      <c r="C15" s="573"/>
      <c r="D15" s="574">
        <v>5.0000000000000001E-3</v>
      </c>
      <c r="E15" s="570">
        <f>C15*D15</f>
        <v>0</v>
      </c>
      <c r="F15" s="573"/>
      <c r="G15" s="573"/>
      <c r="H15" s="573"/>
      <c r="I15" s="573"/>
      <c r="J15" s="573"/>
      <c r="K15" s="573"/>
      <c r="L15" s="573"/>
      <c r="M15" s="573"/>
      <c r="N15" s="571">
        <f t="shared" ref="N15:N20" si="3">SUMPRODUCT($F$6:$M$6,F15:M15)</f>
        <v>0</v>
      </c>
      <c r="P15" s="230">
        <v>0</v>
      </c>
      <c r="Q15" s="230">
        <v>0</v>
      </c>
      <c r="R15" s="230">
        <v>0</v>
      </c>
      <c r="S15" s="230">
        <v>0</v>
      </c>
      <c r="T15" s="230">
        <v>0</v>
      </c>
      <c r="U15" s="230">
        <v>0</v>
      </c>
      <c r="V15" s="230">
        <v>0</v>
      </c>
      <c r="W15" s="230">
        <v>0</v>
      </c>
      <c r="X15" s="230">
        <v>0</v>
      </c>
      <c r="Y15" s="230">
        <v>0</v>
      </c>
      <c r="Z15" s="230">
        <v>0</v>
      </c>
      <c r="AA15" s="230">
        <v>0</v>
      </c>
    </row>
    <row r="16" spans="1:27" x14ac:dyDescent="0.3">
      <c r="A16" s="567">
        <v>2.2000000000000002</v>
      </c>
      <c r="B16" s="575" t="s">
        <v>484</v>
      </c>
      <c r="C16" s="573"/>
      <c r="D16" s="574">
        <v>0.01</v>
      </c>
      <c r="E16" s="570">
        <f>C16*D16</f>
        <v>0</v>
      </c>
      <c r="F16" s="573"/>
      <c r="G16" s="573"/>
      <c r="H16" s="573"/>
      <c r="I16" s="573"/>
      <c r="J16" s="573"/>
      <c r="K16" s="573"/>
      <c r="L16" s="573"/>
      <c r="M16" s="573"/>
      <c r="N16" s="571">
        <f t="shared" si="3"/>
        <v>0</v>
      </c>
      <c r="P16" s="230">
        <v>0</v>
      </c>
      <c r="Q16" s="230">
        <v>0</v>
      </c>
      <c r="R16" s="230">
        <v>0</v>
      </c>
      <c r="S16" s="230">
        <v>0</v>
      </c>
      <c r="T16" s="230">
        <v>0</v>
      </c>
      <c r="U16" s="230">
        <v>0</v>
      </c>
      <c r="V16" s="230">
        <v>0</v>
      </c>
      <c r="W16" s="230">
        <v>0</v>
      </c>
      <c r="X16" s="230">
        <v>0</v>
      </c>
      <c r="Y16" s="230">
        <v>0</v>
      </c>
      <c r="Z16" s="230">
        <v>0</v>
      </c>
      <c r="AA16" s="230">
        <v>0</v>
      </c>
    </row>
    <row r="17" spans="1:27" x14ac:dyDescent="0.3">
      <c r="A17" s="567">
        <v>2.2999999999999998</v>
      </c>
      <c r="B17" s="575" t="s">
        <v>485</v>
      </c>
      <c r="C17" s="573"/>
      <c r="D17" s="574">
        <v>0.02</v>
      </c>
      <c r="E17" s="570">
        <f>C17*D17</f>
        <v>0</v>
      </c>
      <c r="F17" s="573"/>
      <c r="G17" s="573"/>
      <c r="H17" s="573"/>
      <c r="I17" s="573"/>
      <c r="J17" s="573"/>
      <c r="K17" s="573"/>
      <c r="L17" s="573"/>
      <c r="M17" s="573"/>
      <c r="N17" s="571">
        <f t="shared" si="3"/>
        <v>0</v>
      </c>
      <c r="P17" s="230">
        <v>0</v>
      </c>
      <c r="Q17" s="230">
        <v>0</v>
      </c>
      <c r="R17" s="230">
        <v>0</v>
      </c>
      <c r="S17" s="230">
        <v>0</v>
      </c>
      <c r="T17" s="230">
        <v>0</v>
      </c>
      <c r="U17" s="230">
        <v>0</v>
      </c>
      <c r="V17" s="230">
        <v>0</v>
      </c>
      <c r="W17" s="230">
        <v>0</v>
      </c>
      <c r="X17" s="230">
        <v>0</v>
      </c>
      <c r="Y17" s="230">
        <v>0</v>
      </c>
      <c r="Z17" s="230">
        <v>0</v>
      </c>
      <c r="AA17" s="230">
        <v>0</v>
      </c>
    </row>
    <row r="18" spans="1:27" x14ac:dyDescent="0.3">
      <c r="A18" s="567">
        <v>2.4</v>
      </c>
      <c r="B18" s="575" t="s">
        <v>486</v>
      </c>
      <c r="C18" s="573"/>
      <c r="D18" s="574">
        <v>0.03</v>
      </c>
      <c r="E18" s="570">
        <f>C18*D18</f>
        <v>0</v>
      </c>
      <c r="F18" s="573"/>
      <c r="G18" s="573"/>
      <c r="H18" s="573"/>
      <c r="I18" s="573"/>
      <c r="J18" s="573"/>
      <c r="K18" s="573"/>
      <c r="L18" s="573"/>
      <c r="M18" s="573"/>
      <c r="N18" s="571">
        <f t="shared" si="3"/>
        <v>0</v>
      </c>
      <c r="P18" s="230">
        <v>0</v>
      </c>
      <c r="Q18" s="230">
        <v>0</v>
      </c>
      <c r="R18" s="230">
        <v>0</v>
      </c>
      <c r="S18" s="230">
        <v>0</v>
      </c>
      <c r="T18" s="230">
        <v>0</v>
      </c>
      <c r="U18" s="230">
        <v>0</v>
      </c>
      <c r="V18" s="230">
        <v>0</v>
      </c>
      <c r="W18" s="230">
        <v>0</v>
      </c>
      <c r="X18" s="230">
        <v>0</v>
      </c>
      <c r="Y18" s="230">
        <v>0</v>
      </c>
      <c r="Z18" s="230">
        <v>0</v>
      </c>
      <c r="AA18" s="230">
        <v>0</v>
      </c>
    </row>
    <row r="19" spans="1:27" x14ac:dyDescent="0.3">
      <c r="A19" s="567">
        <v>2.5</v>
      </c>
      <c r="B19" s="575" t="s">
        <v>487</v>
      </c>
      <c r="C19" s="573"/>
      <c r="D19" s="574">
        <v>0.04</v>
      </c>
      <c r="E19" s="570">
        <f>C19*D19</f>
        <v>0</v>
      </c>
      <c r="F19" s="573"/>
      <c r="G19" s="573"/>
      <c r="H19" s="573"/>
      <c r="I19" s="573"/>
      <c r="J19" s="573"/>
      <c r="K19" s="573"/>
      <c r="L19" s="573"/>
      <c r="M19" s="573"/>
      <c r="N19" s="571">
        <f t="shared" si="3"/>
        <v>0</v>
      </c>
      <c r="P19" s="230">
        <v>0</v>
      </c>
      <c r="Q19" s="230">
        <v>0</v>
      </c>
      <c r="R19" s="230">
        <v>0</v>
      </c>
      <c r="S19" s="230">
        <v>0</v>
      </c>
      <c r="T19" s="230">
        <v>0</v>
      </c>
      <c r="U19" s="230">
        <v>0</v>
      </c>
      <c r="V19" s="230">
        <v>0</v>
      </c>
      <c r="W19" s="230">
        <v>0</v>
      </c>
      <c r="X19" s="230">
        <v>0</v>
      </c>
      <c r="Y19" s="230">
        <v>0</v>
      </c>
      <c r="Z19" s="230">
        <v>0</v>
      </c>
      <c r="AA19" s="230">
        <v>0</v>
      </c>
    </row>
    <row r="20" spans="1:27" x14ac:dyDescent="0.3">
      <c r="A20" s="567">
        <v>2.6</v>
      </c>
      <c r="B20" s="575" t="s">
        <v>488</v>
      </c>
      <c r="C20" s="573"/>
      <c r="D20" s="576"/>
      <c r="E20" s="578"/>
      <c r="F20" s="573"/>
      <c r="G20" s="573"/>
      <c r="H20" s="573"/>
      <c r="I20" s="573"/>
      <c r="J20" s="573"/>
      <c r="K20" s="573"/>
      <c r="L20" s="573"/>
      <c r="M20" s="573"/>
      <c r="N20" s="571">
        <f t="shared" si="3"/>
        <v>0</v>
      </c>
      <c r="P20" s="230">
        <v>0</v>
      </c>
      <c r="Q20" s="230">
        <v>0</v>
      </c>
      <c r="R20" s="230">
        <v>0</v>
      </c>
      <c r="S20" s="230">
        <v>0</v>
      </c>
      <c r="T20" s="230">
        <v>0</v>
      </c>
      <c r="U20" s="230">
        <v>0</v>
      </c>
      <c r="V20" s="230">
        <v>0</v>
      </c>
      <c r="W20" s="230">
        <v>0</v>
      </c>
      <c r="X20" s="230">
        <v>0</v>
      </c>
      <c r="Y20" s="230">
        <v>0</v>
      </c>
      <c r="Z20" s="230">
        <v>0</v>
      </c>
      <c r="AA20" s="230">
        <v>0</v>
      </c>
    </row>
    <row r="21" spans="1:27" ht="15.75" thickBot="1" x14ac:dyDescent="0.35">
      <c r="A21" s="579">
        <v>3</v>
      </c>
      <c r="B21" s="580" t="s">
        <v>96</v>
      </c>
      <c r="C21" s="581">
        <f>C14+C7</f>
        <v>17486800</v>
      </c>
      <c r="D21" s="582"/>
      <c r="E21" s="583">
        <f>E14+E7</f>
        <v>349736</v>
      </c>
      <c r="F21" s="584">
        <f>F7+F14</f>
        <v>0</v>
      </c>
      <c r="G21" s="584">
        <f t="shared" ref="G21:L21" si="4">G7+G14</f>
        <v>0</v>
      </c>
      <c r="H21" s="584">
        <f t="shared" si="4"/>
        <v>0</v>
      </c>
      <c r="I21" s="584">
        <f t="shared" si="4"/>
        <v>0</v>
      </c>
      <c r="J21" s="584">
        <f t="shared" si="4"/>
        <v>0</v>
      </c>
      <c r="K21" s="584">
        <f t="shared" si="4"/>
        <v>349736</v>
      </c>
      <c r="L21" s="584">
        <f t="shared" si="4"/>
        <v>0</v>
      </c>
      <c r="M21" s="584">
        <f>M7+M14</f>
        <v>0</v>
      </c>
      <c r="N21" s="585">
        <f>N14+N7</f>
        <v>349736</v>
      </c>
      <c r="P21" s="230">
        <v>0</v>
      </c>
      <c r="Q21" s="230">
        <v>0</v>
      </c>
      <c r="R21" s="230">
        <v>0</v>
      </c>
      <c r="S21" s="230">
        <v>0</v>
      </c>
      <c r="T21" s="230">
        <v>0</v>
      </c>
      <c r="U21" s="230">
        <v>0</v>
      </c>
      <c r="V21" s="230">
        <v>0</v>
      </c>
      <c r="W21" s="230">
        <v>0</v>
      </c>
      <c r="X21" s="230">
        <v>-349736</v>
      </c>
      <c r="Y21" s="230">
        <v>0</v>
      </c>
      <c r="Z21" s="230">
        <v>0</v>
      </c>
      <c r="AA21" s="230">
        <v>0</v>
      </c>
    </row>
    <row r="22" spans="1:27" x14ac:dyDescent="0.3">
      <c r="B22" s="586"/>
      <c r="E22" s="587"/>
      <c r="F22" s="587"/>
      <c r="G22" s="587"/>
      <c r="H22" s="587"/>
      <c r="I22" s="587"/>
      <c r="J22" s="587"/>
      <c r="K22" s="587"/>
      <c r="L22" s="587"/>
      <c r="M22" s="587"/>
    </row>
    <row r="23" spans="1:27" x14ac:dyDescent="0.3">
      <c r="E23" s="870"/>
    </row>
  </sheetData>
  <conditionalFormatting sqref="E8:E12">
    <cfRule type="expression" dxfId="21" priority="2">
      <formula>(C8*D8)&lt;&gt;SUM(#REF!)</formula>
    </cfRule>
  </conditionalFormatting>
  <conditionalFormatting sqref="E15:E19">
    <cfRule type="expression" dxfId="20" priority="1">
      <formula>(C15*D15)&lt;&gt;SUM(#REF!)</formula>
    </cfRule>
  </conditionalFormatting>
  <conditionalFormatting sqref="E20">
    <cfRule type="expression" dxfId="19" priority="3">
      <formula>$E$88&lt;&gt;SUM(#REF!)</formula>
    </cfRule>
  </conditionalFormatting>
  <pageMargins left="0.7" right="0.7" top="0.75" bottom="0.75" header="0.3" footer="0.3"/>
  <pageSetup paperSize="0" orientation="portrait" horizontalDpi="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AE6A-A053-4829-9CE7-60E4972873B7}">
  <dimension ref="A1:J43"/>
  <sheetViews>
    <sheetView workbookViewId="0">
      <selection activeCell="C1" sqref="C1:C1048576"/>
    </sheetView>
  </sheetViews>
  <sheetFormatPr defaultRowHeight="15" x14ac:dyDescent="0.25"/>
  <cols>
    <col min="1" max="1" width="11.42578125" customWidth="1"/>
    <col min="2" max="2" width="76.85546875" style="262" customWidth="1"/>
    <col min="3" max="3" width="22.85546875" customWidth="1"/>
    <col min="5" max="6" width="10.28515625" style="862" bestFit="1" customWidth="1"/>
    <col min="7" max="7" width="13.140625" style="862" customWidth="1"/>
    <col min="8" max="8" width="9.140625" style="862"/>
    <col min="9" max="9" width="13.7109375" style="862" bestFit="1" customWidth="1"/>
    <col min="10" max="10" width="9.140625" style="862"/>
    <col min="11" max="11" width="23.7109375" customWidth="1"/>
  </cols>
  <sheetData>
    <row r="1" spans="1:10" x14ac:dyDescent="0.25">
      <c r="A1" s="22" t="s">
        <v>41</v>
      </c>
      <c r="B1" t="str">
        <f>Info!C2</f>
        <v>სს სილქ ბანკი</v>
      </c>
    </row>
    <row r="2" spans="1:10" x14ac:dyDescent="0.25">
      <c r="A2" s="22" t="s">
        <v>42</v>
      </c>
      <c r="B2" s="26">
        <f>'1. key ratios'!B2</f>
        <v>45382</v>
      </c>
    </row>
    <row r="3" spans="1:10" x14ac:dyDescent="0.25">
      <c r="A3" s="22"/>
      <c r="B3"/>
    </row>
    <row r="4" spans="1:10" ht="40.5" customHeight="1" x14ac:dyDescent="0.25">
      <c r="A4" s="22" t="s">
        <v>490</v>
      </c>
      <c r="B4" t="s">
        <v>29</v>
      </c>
    </row>
    <row r="5" spans="1:10" x14ac:dyDescent="0.25">
      <c r="A5" s="588"/>
      <c r="B5" s="588" t="s">
        <v>491</v>
      </c>
      <c r="C5" s="589"/>
    </row>
    <row r="6" spans="1:10" x14ac:dyDescent="0.25">
      <c r="A6" s="590">
        <v>1</v>
      </c>
      <c r="B6" s="591" t="s">
        <v>492</v>
      </c>
      <c r="C6" s="934">
        <v>179252161.86703229</v>
      </c>
      <c r="I6" s="848"/>
      <c r="J6" s="871"/>
    </row>
    <row r="7" spans="1:10" x14ac:dyDescent="0.25">
      <c r="A7" s="590">
        <v>2</v>
      </c>
      <c r="B7" s="591" t="s">
        <v>493</v>
      </c>
      <c r="C7" s="599">
        <v>-4846134.4904706609</v>
      </c>
      <c r="I7" s="848"/>
    </row>
    <row r="8" spans="1:10" x14ac:dyDescent="0.25">
      <c r="A8" s="592">
        <v>3</v>
      </c>
      <c r="B8" s="593" t="s">
        <v>494</v>
      </c>
      <c r="C8" s="594">
        <f>C6+C7</f>
        <v>174406027.37656164</v>
      </c>
      <c r="I8" s="848"/>
    </row>
    <row r="9" spans="1:10" x14ac:dyDescent="0.25">
      <c r="A9" s="595"/>
      <c r="B9" s="595" t="s">
        <v>495</v>
      </c>
      <c r="C9" s="596"/>
      <c r="I9" s="853"/>
    </row>
    <row r="10" spans="1:10" x14ac:dyDescent="0.25">
      <c r="A10" s="597">
        <v>4</v>
      </c>
      <c r="B10" s="598" t="s">
        <v>496</v>
      </c>
      <c r="C10" s="599"/>
      <c r="I10" s="848"/>
    </row>
    <row r="11" spans="1:10" x14ac:dyDescent="0.25">
      <c r="A11" s="597">
        <v>5</v>
      </c>
      <c r="B11" s="600" t="s">
        <v>497</v>
      </c>
      <c r="C11" s="599"/>
      <c r="I11" s="848"/>
    </row>
    <row r="12" spans="1:10" x14ac:dyDescent="0.25">
      <c r="A12" s="597" t="s">
        <v>498</v>
      </c>
      <c r="B12" s="591" t="s">
        <v>499</v>
      </c>
      <c r="C12" s="594">
        <f>'15. CCR'!E21</f>
        <v>349736</v>
      </c>
      <c r="I12" s="848"/>
    </row>
    <row r="13" spans="1:10" x14ac:dyDescent="0.25">
      <c r="A13" s="601">
        <v>6</v>
      </c>
      <c r="B13" s="602" t="s">
        <v>500</v>
      </c>
      <c r="C13" s="599"/>
      <c r="I13" s="848"/>
    </row>
    <row r="14" spans="1:10" x14ac:dyDescent="0.25">
      <c r="A14" s="601">
        <v>7</v>
      </c>
      <c r="B14" s="603" t="s">
        <v>501</v>
      </c>
      <c r="C14" s="599"/>
      <c r="I14" s="848"/>
    </row>
    <row r="15" spans="1:10" x14ac:dyDescent="0.25">
      <c r="A15" s="604">
        <v>8</v>
      </c>
      <c r="B15" s="591" t="s">
        <v>502</v>
      </c>
      <c r="C15" s="599"/>
      <c r="I15" s="848"/>
    </row>
    <row r="16" spans="1:10" ht="24" x14ac:dyDescent="0.25">
      <c r="A16" s="601">
        <v>9</v>
      </c>
      <c r="B16" s="603" t="s">
        <v>503</v>
      </c>
      <c r="C16" s="599"/>
      <c r="I16" s="848"/>
    </row>
    <row r="17" spans="1:9" x14ac:dyDescent="0.25">
      <c r="A17" s="601">
        <v>10</v>
      </c>
      <c r="B17" s="603" t="s">
        <v>504</v>
      </c>
      <c r="C17" s="599"/>
      <c r="I17" s="848"/>
    </row>
    <row r="18" spans="1:9" x14ac:dyDescent="0.25">
      <c r="A18" s="605">
        <v>11</v>
      </c>
      <c r="B18" s="606" t="s">
        <v>505</v>
      </c>
      <c r="C18" s="594">
        <f>SUM(C10:C17)</f>
        <v>349736</v>
      </c>
      <c r="I18" s="848"/>
    </row>
    <row r="19" spans="1:9" x14ac:dyDescent="0.25">
      <c r="A19" s="595"/>
      <c r="B19" s="595" t="s">
        <v>506</v>
      </c>
      <c r="C19" s="607"/>
      <c r="I19" s="853"/>
    </row>
    <row r="20" spans="1:9" x14ac:dyDescent="0.25">
      <c r="A20" s="601">
        <v>12</v>
      </c>
      <c r="B20" s="598" t="s">
        <v>507</v>
      </c>
      <c r="C20" s="599"/>
      <c r="I20" s="848"/>
    </row>
    <row r="21" spans="1:9" x14ac:dyDescent="0.25">
      <c r="A21" s="601">
        <v>13</v>
      </c>
      <c r="B21" s="598" t="s">
        <v>508</v>
      </c>
      <c r="C21" s="599"/>
      <c r="I21" s="848"/>
    </row>
    <row r="22" spans="1:9" x14ac:dyDescent="0.25">
      <c r="A22" s="601">
        <v>14</v>
      </c>
      <c r="B22" s="608" t="s">
        <v>509</v>
      </c>
      <c r="C22" s="599"/>
      <c r="I22" s="848"/>
    </row>
    <row r="23" spans="1:9" ht="24" x14ac:dyDescent="0.25">
      <c r="A23" s="601" t="s">
        <v>510</v>
      </c>
      <c r="B23" s="598" t="s">
        <v>511</v>
      </c>
      <c r="C23" s="599"/>
      <c r="I23" s="848"/>
    </row>
    <row r="24" spans="1:9" x14ac:dyDescent="0.25">
      <c r="A24" s="601">
        <v>15</v>
      </c>
      <c r="B24" s="598" t="s">
        <v>512</v>
      </c>
      <c r="C24" s="599"/>
      <c r="I24" s="848"/>
    </row>
    <row r="25" spans="1:9" x14ac:dyDescent="0.25">
      <c r="A25" s="601" t="s">
        <v>513</v>
      </c>
      <c r="B25" s="591" t="s">
        <v>514</v>
      </c>
      <c r="C25" s="599"/>
      <c r="I25" s="848"/>
    </row>
    <row r="26" spans="1:9" x14ac:dyDescent="0.25">
      <c r="A26" s="605">
        <v>16</v>
      </c>
      <c r="B26" s="606" t="s">
        <v>515</v>
      </c>
      <c r="C26" s="594">
        <f>SUM(C20:C25)</f>
        <v>0</v>
      </c>
      <c r="I26" s="848"/>
    </row>
    <row r="27" spans="1:9" x14ac:dyDescent="0.25">
      <c r="A27" s="595"/>
      <c r="B27" s="595" t="s">
        <v>516</v>
      </c>
      <c r="C27" s="596"/>
      <c r="I27" s="853"/>
    </row>
    <row r="28" spans="1:9" x14ac:dyDescent="0.25">
      <c r="A28" s="597">
        <v>17</v>
      </c>
      <c r="B28" s="591" t="s">
        <v>517</v>
      </c>
      <c r="C28" s="599">
        <v>6876038.9307002872</v>
      </c>
      <c r="I28" s="848"/>
    </row>
    <row r="29" spans="1:9" x14ac:dyDescent="0.25">
      <c r="A29" s="597">
        <v>18</v>
      </c>
      <c r="B29" s="591" t="s">
        <v>518</v>
      </c>
      <c r="C29" s="599">
        <v>-2914713</v>
      </c>
      <c r="I29" s="848"/>
    </row>
    <row r="30" spans="1:9" x14ac:dyDescent="0.25">
      <c r="A30" s="605">
        <v>19</v>
      </c>
      <c r="B30" s="606" t="s">
        <v>519</v>
      </c>
      <c r="C30" s="594">
        <f>C28+C29</f>
        <v>3961325.9307002872</v>
      </c>
      <c r="E30" s="872"/>
      <c r="F30" s="873"/>
      <c r="G30" s="874"/>
      <c r="I30" s="848"/>
    </row>
    <row r="31" spans="1:9" x14ac:dyDescent="0.25">
      <c r="A31" s="609"/>
      <c r="B31" s="595" t="s">
        <v>520</v>
      </c>
      <c r="C31" s="596"/>
      <c r="I31" s="853"/>
    </row>
    <row r="32" spans="1:9" x14ac:dyDescent="0.25">
      <c r="A32" s="597" t="s">
        <v>521</v>
      </c>
      <c r="B32" s="598" t="s">
        <v>522</v>
      </c>
      <c r="C32" s="610"/>
      <c r="I32" s="848"/>
    </row>
    <row r="33" spans="1:9" x14ac:dyDescent="0.25">
      <c r="A33" s="597" t="s">
        <v>523</v>
      </c>
      <c r="B33" s="600" t="s">
        <v>524</v>
      </c>
      <c r="C33" s="610"/>
      <c r="I33" s="848"/>
    </row>
    <row r="34" spans="1:9" x14ac:dyDescent="0.25">
      <c r="A34" s="595"/>
      <c r="B34" s="595" t="s">
        <v>525</v>
      </c>
      <c r="C34" s="596"/>
      <c r="I34" s="853"/>
    </row>
    <row r="35" spans="1:9" x14ac:dyDescent="0.25">
      <c r="A35" s="605">
        <v>20</v>
      </c>
      <c r="B35" s="606" t="s">
        <v>54</v>
      </c>
      <c r="C35" s="594">
        <f>'1. key ratios'!C9</f>
        <v>52964687.190789811</v>
      </c>
      <c r="I35" s="848"/>
    </row>
    <row r="36" spans="1:9" x14ac:dyDescent="0.25">
      <c r="A36" s="605">
        <v>21</v>
      </c>
      <c r="B36" s="606" t="s">
        <v>526</v>
      </c>
      <c r="C36" s="594">
        <f>C8+C18+C26+C30</f>
        <v>178717089.30726194</v>
      </c>
      <c r="I36" s="848"/>
    </row>
    <row r="37" spans="1:9" x14ac:dyDescent="0.25">
      <c r="A37" s="611"/>
      <c r="B37" s="611" t="s">
        <v>29</v>
      </c>
      <c r="C37" s="596"/>
      <c r="I37" s="848"/>
    </row>
    <row r="38" spans="1:9" x14ac:dyDescent="0.25">
      <c r="A38" s="605">
        <v>22</v>
      </c>
      <c r="B38" s="606" t="s">
        <v>29</v>
      </c>
      <c r="C38" s="612">
        <f>IFERROR(C35/C36,0)</f>
        <v>0.29636050696712896</v>
      </c>
      <c r="I38" s="848"/>
    </row>
    <row r="39" spans="1:9" x14ac:dyDescent="0.25">
      <c r="A39" s="611"/>
      <c r="B39" s="611" t="s">
        <v>527</v>
      </c>
      <c r="C39" s="596"/>
      <c r="I39" s="853"/>
    </row>
    <row r="40" spans="1:9" x14ac:dyDescent="0.25">
      <c r="A40" s="613" t="s">
        <v>528</v>
      </c>
      <c r="B40" s="598" t="s">
        <v>529</v>
      </c>
      <c r="C40" s="610"/>
      <c r="I40" s="848"/>
    </row>
    <row r="41" spans="1:9" x14ac:dyDescent="0.25">
      <c r="A41" s="614" t="s">
        <v>530</v>
      </c>
      <c r="B41" s="600" t="s">
        <v>531</v>
      </c>
      <c r="C41" s="610"/>
      <c r="I41" s="848"/>
    </row>
    <row r="43" spans="1:9" x14ac:dyDescent="0.25">
      <c r="B43" s="615" t="s">
        <v>532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327A-9C3D-4FF8-A5DC-844DEC518350}">
  <dimension ref="A1:L42"/>
  <sheetViews>
    <sheetView zoomScaleNormal="100" workbookViewId="0">
      <pane xSplit="2" ySplit="6" topLeftCell="C16" activePane="bottomRight" state="frozen"/>
      <selection activeCell="D46" sqref="D46"/>
      <selection pane="topRight" activeCell="D46" sqref="D46"/>
      <selection pane="bottomLeft" activeCell="D46" sqref="D46"/>
      <selection pane="bottomRight" activeCell="C8" sqref="C8:G39"/>
    </sheetView>
  </sheetViews>
  <sheetFormatPr defaultRowHeight="15" x14ac:dyDescent="0.25"/>
  <cols>
    <col min="1" max="1" width="9.85546875" style="22" bestFit="1" customWidth="1"/>
    <col min="2" max="2" width="95.140625" style="128" customWidth="1"/>
    <col min="3" max="7" width="17.5703125" style="22" customWidth="1"/>
    <col min="8" max="8" width="15.85546875" style="853" customWidth="1"/>
    <col min="9" max="9" width="12.85546875" style="853" bestFit="1" customWidth="1"/>
    <col min="10" max="10" width="11.140625" bestFit="1" customWidth="1"/>
    <col min="11" max="11" width="14.5703125" bestFit="1" customWidth="1"/>
    <col min="12" max="12" width="11.140625" bestFit="1" customWidth="1"/>
  </cols>
  <sheetData>
    <row r="1" spans="1:12" x14ac:dyDescent="0.25">
      <c r="A1" s="22" t="s">
        <v>41</v>
      </c>
      <c r="B1" s="22" t="str">
        <f>Info!C2</f>
        <v>სს სილქ ბანკი</v>
      </c>
    </row>
    <row r="2" spans="1:12" x14ac:dyDescent="0.25">
      <c r="A2" s="22" t="s">
        <v>42</v>
      </c>
      <c r="B2" s="26">
        <f>'1. key ratios'!B2</f>
        <v>45382</v>
      </c>
    </row>
    <row r="3" spans="1:12" x14ac:dyDescent="0.25">
      <c r="B3" s="616"/>
    </row>
    <row r="4" spans="1:12" ht="40.5" customHeight="1" thickBot="1" x14ac:dyDescent="0.3">
      <c r="A4" s="22" t="s">
        <v>533</v>
      </c>
      <c r="B4" s="431" t="s">
        <v>30</v>
      </c>
      <c r="H4" s="863"/>
    </row>
    <row r="5" spans="1:12" x14ac:dyDescent="0.25">
      <c r="A5" s="617"/>
      <c r="B5" s="618"/>
      <c r="C5" s="619" t="s">
        <v>534</v>
      </c>
      <c r="D5" s="619"/>
      <c r="E5" s="619"/>
      <c r="F5" s="619"/>
      <c r="G5" s="620" t="s">
        <v>535</v>
      </c>
    </row>
    <row r="6" spans="1:12" x14ac:dyDescent="0.25">
      <c r="A6" s="621"/>
      <c r="B6" s="622"/>
      <c r="C6" s="623" t="s">
        <v>536</v>
      </c>
      <c r="D6" s="623" t="s">
        <v>537</v>
      </c>
      <c r="E6" s="623" t="s">
        <v>538</v>
      </c>
      <c r="F6" s="623" t="s">
        <v>539</v>
      </c>
      <c r="G6" s="624"/>
      <c r="H6" s="863"/>
    </row>
    <row r="7" spans="1:12" x14ac:dyDescent="0.25">
      <c r="A7" s="625"/>
      <c r="B7" s="626" t="s">
        <v>86</v>
      </c>
      <c r="C7" s="627"/>
      <c r="D7" s="627"/>
      <c r="E7" s="627"/>
      <c r="F7" s="627"/>
      <c r="G7" s="628"/>
    </row>
    <row r="8" spans="1:12" x14ac:dyDescent="0.25">
      <c r="A8" s="493">
        <v>1</v>
      </c>
      <c r="B8" s="629" t="s">
        <v>540</v>
      </c>
      <c r="C8" s="145">
        <f>SUM(C9:C10)</f>
        <v>52964687.190789811</v>
      </c>
      <c r="D8" s="145">
        <f>SUM(D9:D10)</f>
        <v>0</v>
      </c>
      <c r="E8" s="145">
        <f>SUM(E9:E10)</f>
        <v>0</v>
      </c>
      <c r="F8" s="145">
        <f>SUM(F9)</f>
        <v>3306250</v>
      </c>
      <c r="G8" s="630">
        <f>SUM(G9)</f>
        <v>56270937.190789811</v>
      </c>
      <c r="H8" s="875"/>
    </row>
    <row r="9" spans="1:12" x14ac:dyDescent="0.25">
      <c r="A9" s="493">
        <v>2</v>
      </c>
      <c r="B9" s="631" t="s">
        <v>20</v>
      </c>
      <c r="C9" s="145">
        <v>52964687.190789811</v>
      </c>
      <c r="D9" s="145"/>
      <c r="E9" s="145"/>
      <c r="F9" s="145">
        <v>3306250</v>
      </c>
      <c r="G9" s="630">
        <f>SUM(C9:F9)*1</f>
        <v>56270937.190789811</v>
      </c>
      <c r="H9" s="875"/>
    </row>
    <row r="10" spans="1:12" x14ac:dyDescent="0.25">
      <c r="A10" s="493">
        <v>3</v>
      </c>
      <c r="B10" s="631" t="s">
        <v>541</v>
      </c>
      <c r="C10" s="632"/>
      <c r="D10" s="632"/>
      <c r="E10" s="632"/>
      <c r="F10" s="145">
        <v>6245031.3299999991</v>
      </c>
      <c r="G10" s="630">
        <f>SUM(C10:F10)*1</f>
        <v>6245031.3299999991</v>
      </c>
      <c r="H10" s="875"/>
    </row>
    <row r="11" spans="1:12" x14ac:dyDescent="0.25">
      <c r="A11" s="493">
        <v>4</v>
      </c>
      <c r="B11" s="629" t="s">
        <v>542</v>
      </c>
      <c r="C11" s="145">
        <f>SUM(C12:C13)</f>
        <v>6310933.789999987</v>
      </c>
      <c r="D11" s="145">
        <f>SUM(D12:D13)</f>
        <v>15933446.819999995</v>
      </c>
      <c r="E11" s="145">
        <f>SUM(E12:E13)</f>
        <v>12752961.209999997</v>
      </c>
      <c r="F11" s="145">
        <f>SUM(F12:F13)</f>
        <v>8085.9</v>
      </c>
      <c r="G11" s="630">
        <f>SUM(G12:G13)</f>
        <v>32995214.828499977</v>
      </c>
      <c r="H11" s="875"/>
    </row>
    <row r="12" spans="1:12" x14ac:dyDescent="0.25">
      <c r="A12" s="493">
        <v>5</v>
      </c>
      <c r="B12" s="631" t="s">
        <v>543</v>
      </c>
      <c r="C12" s="145">
        <v>5847104.5699999873</v>
      </c>
      <c r="D12" s="153">
        <v>15861458.989999995</v>
      </c>
      <c r="E12" s="145">
        <v>12711130.469999997</v>
      </c>
      <c r="F12" s="145">
        <v>8085.9</v>
      </c>
      <c r="G12" s="630">
        <f>SUM(C12:F12)*0.95</f>
        <v>32706390.933499977</v>
      </c>
      <c r="H12" s="875"/>
      <c r="J12" s="136"/>
      <c r="K12" s="633"/>
      <c r="L12" s="136"/>
    </row>
    <row r="13" spans="1:12" x14ac:dyDescent="0.25">
      <c r="A13" s="493">
        <v>6</v>
      </c>
      <c r="B13" s="631" t="s">
        <v>544</v>
      </c>
      <c r="C13" s="145">
        <v>463829.22000000003</v>
      </c>
      <c r="D13" s="153">
        <v>71987.83</v>
      </c>
      <c r="E13" s="145">
        <v>41830.74</v>
      </c>
      <c r="F13" s="145">
        <v>0</v>
      </c>
      <c r="G13" s="630">
        <f>SUM(C13:F13)/2</f>
        <v>288823.89500000002</v>
      </c>
      <c r="H13" s="875"/>
      <c r="L13" s="136">
        <f>L11-L12</f>
        <v>0</v>
      </c>
    </row>
    <row r="14" spans="1:12" x14ac:dyDescent="0.25">
      <c r="A14" s="493">
        <v>7</v>
      </c>
      <c r="B14" s="629" t="s">
        <v>545</v>
      </c>
      <c r="C14" s="145">
        <f>SUM(C15:C16)</f>
        <v>19758120.510000005</v>
      </c>
      <c r="D14" s="145">
        <f>SUM(D15:D16)</f>
        <v>51720883.779999994</v>
      </c>
      <c r="E14" s="145">
        <f>SUM(E15:E16)</f>
        <v>968762.13</v>
      </c>
      <c r="F14" s="145">
        <f>SUM(F15:F16)</f>
        <v>32343.599999999999</v>
      </c>
      <c r="G14" s="630">
        <f>SUM(G15:G16)</f>
        <v>35850420.924999997</v>
      </c>
      <c r="H14" s="875"/>
      <c r="L14" s="136"/>
    </row>
    <row r="15" spans="1:12" ht="54" x14ac:dyDescent="0.25">
      <c r="A15" s="493">
        <v>8</v>
      </c>
      <c r="B15" s="634" t="s">
        <v>546</v>
      </c>
      <c r="C15" s="145">
        <v>18978852.340000007</v>
      </c>
      <c r="D15" s="635">
        <v>51720883.779999994</v>
      </c>
      <c r="E15" s="635">
        <v>140000</v>
      </c>
      <c r="F15" s="635">
        <v>32343.599999999999</v>
      </c>
      <c r="G15" s="630">
        <f>SUM(C15:F15)/2</f>
        <v>35436039.859999999</v>
      </c>
      <c r="H15" s="875"/>
      <c r="I15" s="875"/>
      <c r="K15" s="167"/>
      <c r="L15" s="136"/>
    </row>
    <row r="16" spans="1:12" ht="27" x14ac:dyDescent="0.25">
      <c r="A16" s="493">
        <v>9</v>
      </c>
      <c r="B16" s="631" t="s">
        <v>547</v>
      </c>
      <c r="C16" s="636">
        <v>779268.16999999981</v>
      </c>
      <c r="D16" s="636">
        <f>'2. SOFP'!E43</f>
        <v>0</v>
      </c>
      <c r="E16" s="145">
        <v>828762.13</v>
      </c>
      <c r="F16" s="145"/>
      <c r="G16" s="630">
        <f>C16*0+D16*0+E16/2</f>
        <v>414381.065</v>
      </c>
      <c r="H16" s="875"/>
    </row>
    <row r="17" spans="1:11" x14ac:dyDescent="0.25">
      <c r="A17" s="493">
        <v>10</v>
      </c>
      <c r="B17" s="629" t="s">
        <v>548</v>
      </c>
      <c r="C17" s="145"/>
      <c r="D17" s="153"/>
      <c r="E17" s="145"/>
      <c r="F17" s="145"/>
      <c r="G17" s="630"/>
    </row>
    <row r="18" spans="1:11" x14ac:dyDescent="0.25">
      <c r="A18" s="493">
        <v>11</v>
      </c>
      <c r="B18" s="629" t="s">
        <v>139</v>
      </c>
      <c r="C18" s="145">
        <f>SUM(C19:C20)</f>
        <v>5633303.5468144855</v>
      </c>
      <c r="D18" s="153">
        <f>SUM(D19:D20)</f>
        <v>2155</v>
      </c>
      <c r="E18" s="145">
        <f>SUM(E19:E20)</f>
        <v>0</v>
      </c>
      <c r="F18" s="145">
        <f>SUM(F19:F20)</f>
        <v>0</v>
      </c>
      <c r="G18" s="630">
        <f>SUM(G19:G20)</f>
        <v>0</v>
      </c>
    </row>
    <row r="19" spans="1:11" x14ac:dyDescent="0.25">
      <c r="A19" s="493">
        <v>12</v>
      </c>
      <c r="B19" s="631" t="s">
        <v>549</v>
      </c>
      <c r="C19" s="632"/>
      <c r="D19" s="153">
        <v>2155</v>
      </c>
      <c r="E19" s="145"/>
      <c r="F19" s="145"/>
      <c r="G19" s="630">
        <f>D19*0</f>
        <v>0</v>
      </c>
      <c r="H19" s="863"/>
    </row>
    <row r="20" spans="1:11" ht="27" x14ac:dyDescent="0.25">
      <c r="A20" s="493">
        <v>13</v>
      </c>
      <c r="B20" s="631" t="s">
        <v>550</v>
      </c>
      <c r="C20" s="145">
        <v>5633303.5468144855</v>
      </c>
      <c r="D20" s="145"/>
      <c r="E20" s="145"/>
      <c r="F20" s="145"/>
      <c r="G20" s="630">
        <f>C20*0</f>
        <v>0</v>
      </c>
      <c r="H20" s="875"/>
    </row>
    <row r="21" spans="1:11" x14ac:dyDescent="0.25">
      <c r="A21" s="637">
        <v>14</v>
      </c>
      <c r="B21" s="638" t="s">
        <v>551</v>
      </c>
      <c r="C21" s="632"/>
      <c r="D21" s="632"/>
      <c r="E21" s="632"/>
      <c r="F21" s="632"/>
      <c r="G21" s="639">
        <f>SUM(G8,G11,G14,G17,G18,G10)</f>
        <v>131361604.27428979</v>
      </c>
      <c r="H21" s="875"/>
      <c r="K21" s="167"/>
    </row>
    <row r="22" spans="1:11" x14ac:dyDescent="0.25">
      <c r="A22" s="640"/>
      <c r="B22" s="641" t="s">
        <v>87</v>
      </c>
      <c r="C22" s="642"/>
      <c r="D22" s="643"/>
      <c r="E22" s="642"/>
      <c r="F22" s="642"/>
      <c r="G22" s="644"/>
    </row>
    <row r="23" spans="1:11" x14ac:dyDescent="0.25">
      <c r="A23" s="493">
        <v>15</v>
      </c>
      <c r="B23" s="629" t="s">
        <v>460</v>
      </c>
      <c r="C23" s="148">
        <v>78916355.170488521</v>
      </c>
      <c r="D23" s="148"/>
      <c r="E23" s="148"/>
      <c r="F23" s="148">
        <v>71699.25</v>
      </c>
      <c r="G23" s="645">
        <v>3669315.628524425</v>
      </c>
      <c r="H23" s="875"/>
      <c r="I23" s="875"/>
    </row>
    <row r="24" spans="1:11" x14ac:dyDescent="0.25">
      <c r="A24" s="493">
        <v>16</v>
      </c>
      <c r="B24" s="629" t="s">
        <v>552</v>
      </c>
      <c r="C24" s="145">
        <f>SUM(C25:C27,C29,C31)</f>
        <v>0</v>
      </c>
      <c r="D24" s="153">
        <f>SUM(D25:D27,D29,D31)</f>
        <v>4649799.2563694371</v>
      </c>
      <c r="E24" s="145">
        <f>SUM(E25:E27,E29,E31)</f>
        <v>6683880.7735644504</v>
      </c>
      <c r="F24" s="145">
        <f>SUM(F25:F27,F29,F31)</f>
        <v>51204137.333673783</v>
      </c>
      <c r="G24" s="630">
        <f>SUM(G25:G27,G29,G31)</f>
        <v>49148938.850070052</v>
      </c>
      <c r="I24" s="875"/>
    </row>
    <row r="25" spans="1:11" ht="27" x14ac:dyDescent="0.25">
      <c r="A25" s="493">
        <v>17</v>
      </c>
      <c r="B25" s="631" t="s">
        <v>553</v>
      </c>
      <c r="C25" s="145"/>
      <c r="D25" s="153"/>
      <c r="E25" s="145"/>
      <c r="F25" s="145"/>
      <c r="G25" s="630"/>
    </row>
    <row r="26" spans="1:11" ht="27" x14ac:dyDescent="0.25">
      <c r="A26" s="493">
        <v>18</v>
      </c>
      <c r="B26" s="631" t="s">
        <v>554</v>
      </c>
      <c r="C26" s="145"/>
      <c r="D26" s="153">
        <v>363155.55</v>
      </c>
      <c r="E26" s="145"/>
      <c r="F26" s="145"/>
      <c r="G26" s="630">
        <f>D26*0.15</f>
        <v>54473.332499999997</v>
      </c>
      <c r="H26" s="875"/>
      <c r="I26" s="875"/>
    </row>
    <row r="27" spans="1:11" x14ac:dyDescent="0.25">
      <c r="A27" s="493">
        <v>19</v>
      </c>
      <c r="B27" s="631" t="s">
        <v>555</v>
      </c>
      <c r="C27" s="145"/>
      <c r="D27" s="148">
        <v>4286643.7063694373</v>
      </c>
      <c r="E27" s="148">
        <v>6683880.7735644504</v>
      </c>
      <c r="F27" s="148">
        <v>47828705.305108733</v>
      </c>
      <c r="G27" s="630">
        <v>46225348.293289758</v>
      </c>
      <c r="H27" s="875"/>
      <c r="I27" s="875"/>
    </row>
    <row r="28" spans="1:11" x14ac:dyDescent="0.25">
      <c r="A28" s="493">
        <v>20</v>
      </c>
      <c r="B28" s="646" t="s">
        <v>556</v>
      </c>
      <c r="C28" s="145"/>
      <c r="E28" s="145"/>
      <c r="F28" s="145"/>
      <c r="G28" s="630"/>
    </row>
    <row r="29" spans="1:11" x14ac:dyDescent="0.25">
      <c r="A29" s="493">
        <v>21</v>
      </c>
      <c r="B29" s="631" t="s">
        <v>557</v>
      </c>
      <c r="C29" s="145"/>
      <c r="D29" s="153"/>
      <c r="E29" s="145"/>
      <c r="F29" s="145"/>
      <c r="G29" s="630"/>
    </row>
    <row r="30" spans="1:11" x14ac:dyDescent="0.25">
      <c r="A30" s="493">
        <v>22</v>
      </c>
      <c r="B30" s="646" t="s">
        <v>556</v>
      </c>
      <c r="C30" s="145"/>
      <c r="D30" s="153"/>
      <c r="E30" s="145"/>
      <c r="F30" s="145"/>
      <c r="G30" s="630"/>
    </row>
    <row r="31" spans="1:11" x14ac:dyDescent="0.25">
      <c r="A31" s="493">
        <v>23</v>
      </c>
      <c r="B31" s="631" t="s">
        <v>558</v>
      </c>
      <c r="C31" s="145"/>
      <c r="D31" s="148">
        <v>0</v>
      </c>
      <c r="E31" s="148"/>
      <c r="F31" s="145">
        <v>3375432.0285650496</v>
      </c>
      <c r="G31" s="630">
        <f>E31*0.5+F31*0.85</f>
        <v>2869117.2242802922</v>
      </c>
      <c r="H31" s="875"/>
      <c r="I31" s="862"/>
    </row>
    <row r="32" spans="1:11" x14ac:dyDescent="0.25">
      <c r="A32" s="493">
        <v>24</v>
      </c>
      <c r="B32" s="629" t="s">
        <v>559</v>
      </c>
      <c r="C32" s="145"/>
      <c r="D32" s="153"/>
      <c r="E32" s="145"/>
      <c r="F32" s="145"/>
      <c r="G32" s="630"/>
    </row>
    <row r="33" spans="1:9" x14ac:dyDescent="0.25">
      <c r="A33" s="493">
        <v>25</v>
      </c>
      <c r="B33" s="629" t="s">
        <v>122</v>
      </c>
      <c r="C33" s="145">
        <f>SUM(C34:C35)</f>
        <v>12341635.86952934</v>
      </c>
      <c r="D33" s="145">
        <f>SUM(D34:D35)</f>
        <v>11917732.547903417</v>
      </c>
      <c r="E33" s="145">
        <f>SUM(E34:E35)</f>
        <v>0</v>
      </c>
      <c r="F33" s="145">
        <f>SUM(F34:F35)</f>
        <v>9851724.7700753435</v>
      </c>
      <c r="G33" s="630">
        <f>SUM(G34:G35)</f>
        <v>28287276.257508099</v>
      </c>
    </row>
    <row r="34" spans="1:9" x14ac:dyDescent="0.25">
      <c r="A34" s="493">
        <v>26</v>
      </c>
      <c r="B34" s="631" t="s">
        <v>560</v>
      </c>
      <c r="C34" s="632"/>
      <c r="D34" s="153">
        <v>270098.68790341541</v>
      </c>
      <c r="E34" s="145"/>
      <c r="F34" s="145"/>
      <c r="G34" s="630">
        <f>D34*1</f>
        <v>270098.68790341541</v>
      </c>
      <c r="H34" s="875"/>
      <c r="I34" s="875"/>
    </row>
    <row r="35" spans="1:9" x14ac:dyDescent="0.25">
      <c r="A35" s="493">
        <v>27</v>
      </c>
      <c r="B35" s="631" t="s">
        <v>561</v>
      </c>
      <c r="C35" s="145">
        <f>'2. SOFP'!E25-'2. SOFP'!C64-'2. SOFP'!C29</f>
        <v>12341635.86952934</v>
      </c>
      <c r="D35" s="153">
        <v>11647633.860000001</v>
      </c>
      <c r="E35" s="145"/>
      <c r="F35" s="145">
        <v>9851724.7700753435</v>
      </c>
      <c r="G35" s="630">
        <f>C35+D35*0.5+F35</f>
        <v>28017177.569604684</v>
      </c>
      <c r="H35" s="875"/>
    </row>
    <row r="36" spans="1:9" x14ac:dyDescent="0.25">
      <c r="A36" s="493">
        <v>28</v>
      </c>
      <c r="B36" s="629" t="s">
        <v>562</v>
      </c>
      <c r="C36" s="145"/>
      <c r="D36" s="153">
        <v>3279994</v>
      </c>
      <c r="E36" s="145">
        <v>3060727.25</v>
      </c>
      <c r="F36" s="145">
        <v>585953</v>
      </c>
      <c r="G36" s="630">
        <f>D36*0.05+E36*0.1+F36*0.15</f>
        <v>557965.375</v>
      </c>
    </row>
    <row r="37" spans="1:9" x14ac:dyDescent="0.25">
      <c r="A37" s="637">
        <v>29</v>
      </c>
      <c r="B37" s="638" t="s">
        <v>563</v>
      </c>
      <c r="C37" s="632"/>
      <c r="D37" s="632"/>
      <c r="E37" s="632"/>
      <c r="F37" s="632"/>
      <c r="G37" s="639">
        <f>SUM(G23:G24,G32:G33,G36)</f>
        <v>81663496.111102581</v>
      </c>
      <c r="H37" s="875"/>
      <c r="I37" s="875"/>
    </row>
    <row r="38" spans="1:9" x14ac:dyDescent="0.25">
      <c r="A38" s="625"/>
      <c r="B38" s="647"/>
      <c r="C38" s="648"/>
      <c r="D38" s="648"/>
      <c r="E38" s="648"/>
      <c r="F38" s="648"/>
      <c r="G38" s="649"/>
    </row>
    <row r="39" spans="1:9" ht="15.75" thickBot="1" x14ac:dyDescent="0.3">
      <c r="A39" s="650">
        <v>30</v>
      </c>
      <c r="B39" s="651" t="s">
        <v>30</v>
      </c>
      <c r="C39" s="652"/>
      <c r="D39" s="542"/>
      <c r="E39" s="542"/>
      <c r="F39" s="543"/>
      <c r="G39" s="653">
        <f>IFERROR(G21/G37,0)</f>
        <v>1.608571889887904</v>
      </c>
      <c r="I39" s="848"/>
    </row>
    <row r="41" spans="1:9" x14ac:dyDescent="0.25">
      <c r="D41" s="654"/>
      <c r="G41" s="864"/>
    </row>
    <row r="42" spans="1:9" ht="40.5" x14ac:dyDescent="0.25">
      <c r="B42" s="128" t="s">
        <v>564</v>
      </c>
    </row>
  </sheetData>
  <mergeCells count="2">
    <mergeCell ref="C5:F5"/>
    <mergeCell ref="G5:G6"/>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BB60-C545-4C2A-A831-E6C073754BB4}">
  <dimension ref="A1:N51"/>
  <sheetViews>
    <sheetView zoomScaleNormal="130" workbookViewId="0">
      <pane xSplit="1" ySplit="5" topLeftCell="B29" activePane="bottomRight" state="frozen"/>
      <selection activeCell="D46" sqref="D46"/>
      <selection pane="topRight" activeCell="D46" sqref="D46"/>
      <selection pane="bottomLeft" activeCell="D46" sqref="D46"/>
      <selection pane="bottomRight" activeCell="P30" sqref="P30"/>
    </sheetView>
  </sheetViews>
  <sheetFormatPr defaultRowHeight="15.75" x14ac:dyDescent="0.3"/>
  <cols>
    <col min="1" max="1" width="9.5703125" style="127" bestFit="1" customWidth="1"/>
    <col min="2" max="2" width="55.28515625" style="25" customWidth="1"/>
    <col min="3" max="3" width="12.7109375" style="25" customWidth="1"/>
    <col min="4" max="6" width="12.7109375" style="22" customWidth="1"/>
    <col min="7" max="7" width="15" style="22" customWidth="1"/>
    <col min="8" max="8" width="15.42578125" customWidth="1"/>
    <col min="11" max="14" width="14.85546875" customWidth="1"/>
  </cols>
  <sheetData>
    <row r="1" spans="1:14" x14ac:dyDescent="0.3">
      <c r="A1" s="23" t="s">
        <v>41</v>
      </c>
      <c r="B1" s="24" t="str">
        <f>Info!C2</f>
        <v>სს სილქ ბანკი</v>
      </c>
    </row>
    <row r="2" spans="1:14" x14ac:dyDescent="0.3">
      <c r="A2" s="23" t="s">
        <v>42</v>
      </c>
      <c r="B2" s="26">
        <v>45382</v>
      </c>
    </row>
    <row r="3" spans="1:14" ht="16.5" thickBot="1" x14ac:dyDescent="0.35">
      <c r="A3" s="23"/>
    </row>
    <row r="4" spans="1:14" ht="40.5" customHeight="1" thickBot="1" x14ac:dyDescent="0.35">
      <c r="A4" s="28" t="s">
        <v>43</v>
      </c>
      <c r="B4" s="29" t="s">
        <v>12</v>
      </c>
      <c r="C4" s="30"/>
      <c r="D4" s="31" t="s">
        <v>44</v>
      </c>
      <c r="E4" s="32"/>
      <c r="F4" s="32"/>
      <c r="G4" s="33"/>
      <c r="K4" s="34" t="s">
        <v>45</v>
      </c>
      <c r="L4" s="35"/>
      <c r="M4" s="35"/>
      <c r="N4" s="36"/>
    </row>
    <row r="5" spans="1:14" ht="15" x14ac:dyDescent="0.25">
      <c r="A5" s="37" t="s">
        <v>46</v>
      </c>
      <c r="B5" s="38"/>
      <c r="C5" s="39" t="str">
        <f>INT((MONTH($B$2))/3)&amp;"Q"&amp;"-"&amp;YEAR($B$2)</f>
        <v>1Q-2024</v>
      </c>
      <c r="D5" s="39" t="str">
        <f>IF(INT(MONTH($B$2))=3, "4"&amp;"Q"&amp;"-"&amp;YEAR($B$2)-1, IF(INT(MONTH($B$2))=6, "1"&amp;"Q"&amp;"-"&amp;YEAR($B$2), IF(INT(MONTH($B$2))=9, "2"&amp;"Q"&amp;"-"&amp;YEAR($B$2),IF(INT(MONTH($B$2))=12, "3"&amp;"Q"&amp;"-"&amp;YEAR($B$2), 0))))</f>
        <v>4Q-2023</v>
      </c>
      <c r="E5" s="39" t="str">
        <f>IF(INT(MONTH($B$2))=3, "3"&amp;"Q"&amp;"-"&amp;YEAR($B$2)-1, IF(INT(MONTH($B$2))=6, "4"&amp;"Q"&amp;"-"&amp;YEAR($B$2)-1, IF(INT(MONTH($B$2))=9, "1"&amp;"Q"&amp;"-"&amp;YEAR($B$2),IF(INT(MONTH($B$2))=12, "2"&amp;"Q"&amp;"-"&amp;YEAR($B$2), 0))))</f>
        <v>3Q-2023</v>
      </c>
      <c r="F5" s="39" t="str">
        <f>IF(INT(MONTH($B$2))=3, "2"&amp;"Q"&amp;"-"&amp;YEAR($B$2)-1, IF(INT(MONTH($B$2))=6, "3"&amp;"Q"&amp;"-"&amp;YEAR($B$2)-1, IF(INT(MONTH($B$2))=9, "4"&amp;"Q"&amp;"-"&amp;YEAR($B$2)-1,IF(INT(MONTH($B$2))=12, "1"&amp;"Q"&amp;"-"&amp;YEAR($B$2), 0))))</f>
        <v>2Q-2023</v>
      </c>
      <c r="G5" s="40" t="str">
        <f>IF(INT(MONTH($B$2))=3, "1"&amp;"Q"&amp;"-"&amp;YEAR($B$2)-1, IF(INT(MONTH($B$2))=6, "2"&amp;"Q"&amp;"-"&amp;YEAR($B$2)-1, IF(INT(MONTH($B$2))=9, "3"&amp;"Q"&amp;"-"&amp;YEAR($B$2)-1,IF(INT(MONTH($B$2))=12, "4"&amp;"Q"&amp;"-"&amp;YEAR($B$2)-1, 0))))</f>
        <v>1Q-2023</v>
      </c>
      <c r="K5" s="41" t="s">
        <v>47</v>
      </c>
      <c r="L5" s="39" t="s">
        <v>48</v>
      </c>
      <c r="M5" s="41" t="s">
        <v>49</v>
      </c>
      <c r="N5" s="39" t="s">
        <v>50</v>
      </c>
    </row>
    <row r="6" spans="1:14" ht="15" x14ac:dyDescent="0.25">
      <c r="A6" s="42"/>
      <c r="B6" s="43" t="s">
        <v>51</v>
      </c>
      <c r="C6" s="44"/>
      <c r="D6" s="45"/>
      <c r="E6" s="45"/>
      <c r="F6" s="45"/>
      <c r="G6" s="46"/>
      <c r="K6" s="47"/>
      <c r="L6" s="45"/>
      <c r="M6" s="45"/>
      <c r="N6" s="46"/>
    </row>
    <row r="7" spans="1:14" ht="15" x14ac:dyDescent="0.25">
      <c r="A7" s="42"/>
      <c r="B7" s="48" t="s">
        <v>52</v>
      </c>
      <c r="C7" s="49"/>
      <c r="D7" s="50"/>
      <c r="E7" s="50"/>
      <c r="F7" s="50"/>
      <c r="G7" s="51"/>
      <c r="K7" s="52"/>
      <c r="L7" s="50"/>
      <c r="M7" s="50"/>
      <c r="N7" s="51"/>
    </row>
    <row r="8" spans="1:14" ht="15" x14ac:dyDescent="0.25">
      <c r="A8" s="53">
        <v>1</v>
      </c>
      <c r="B8" s="54" t="s">
        <v>53</v>
      </c>
      <c r="C8" s="55">
        <f>'9. Capital'!C29</f>
        <v>52964687.190789811</v>
      </c>
      <c r="D8" s="56">
        <v>52917483.969116479</v>
      </c>
      <c r="E8" s="56">
        <v>47232568.251399003</v>
      </c>
      <c r="F8" s="56">
        <v>49454613.058878683</v>
      </c>
      <c r="G8" s="57">
        <v>50701215.87856701</v>
      </c>
      <c r="K8" s="58">
        <v>48511184.540000007</v>
      </c>
      <c r="L8" s="56">
        <v>47033072.099999994</v>
      </c>
      <c r="M8" s="56">
        <v>47669109.719999999</v>
      </c>
      <c r="N8" s="57">
        <v>48782730.109999999</v>
      </c>
    </row>
    <row r="9" spans="1:14" ht="15" x14ac:dyDescent="0.25">
      <c r="A9" s="53">
        <v>2</v>
      </c>
      <c r="B9" s="54" t="s">
        <v>54</v>
      </c>
      <c r="C9" s="55">
        <f>'9. Capital'!C29</f>
        <v>52964687.190789811</v>
      </c>
      <c r="D9" s="56">
        <v>52917483.969116479</v>
      </c>
      <c r="E9" s="56">
        <v>47232568.251399003</v>
      </c>
      <c r="F9" s="56">
        <v>49454613.058878683</v>
      </c>
      <c r="G9" s="57">
        <v>50701215.87856701</v>
      </c>
      <c r="K9" s="58">
        <v>48511184.540000007</v>
      </c>
      <c r="L9" s="56">
        <v>47033072.099999994</v>
      </c>
      <c r="M9" s="56">
        <v>47669109.719999999</v>
      </c>
      <c r="N9" s="57">
        <v>48782730.109999999</v>
      </c>
    </row>
    <row r="10" spans="1:14" ht="15" x14ac:dyDescent="0.25">
      <c r="A10" s="53">
        <v>3</v>
      </c>
      <c r="B10" s="54" t="s">
        <v>20</v>
      </c>
      <c r="C10" s="55">
        <f>'9. Capital'!C29+'9. Capital'!C44</f>
        <v>56270937.190789811</v>
      </c>
      <c r="D10" s="56">
        <v>55792483.969116479</v>
      </c>
      <c r="E10" s="56">
        <v>50107568.251399003</v>
      </c>
      <c r="F10" s="56">
        <v>52329613.058878683</v>
      </c>
      <c r="G10" s="57">
        <v>53576215.87856701</v>
      </c>
      <c r="H10" s="60"/>
      <c r="K10" s="58">
        <v>51806334.150000006</v>
      </c>
      <c r="L10" s="56">
        <v>50425926.109999992</v>
      </c>
      <c r="M10" s="56">
        <v>50544809.549999997</v>
      </c>
      <c r="N10" s="57">
        <v>51647000.859999999</v>
      </c>
    </row>
    <row r="11" spans="1:14" ht="15" x14ac:dyDescent="0.25">
      <c r="A11" s="53">
        <v>4</v>
      </c>
      <c r="B11" s="54" t="s">
        <v>55</v>
      </c>
      <c r="C11" s="55">
        <v>21454146.996470381</v>
      </c>
      <c r="D11" s="56">
        <v>19566432.633775767</v>
      </c>
      <c r="E11" s="56">
        <v>13538236.495725883</v>
      </c>
      <c r="F11" s="56">
        <v>11640056.833975865</v>
      </c>
      <c r="G11" s="57">
        <v>10119514.466354832</v>
      </c>
      <c r="K11" s="58">
        <v>6435500.856027049</v>
      </c>
      <c r="L11" s="56">
        <v>7730929.6487218384</v>
      </c>
      <c r="M11" s="56">
        <v>5206706.6113385735</v>
      </c>
      <c r="N11" s="57">
        <v>6735696.2838718379</v>
      </c>
    </row>
    <row r="12" spans="1:14" ht="15" x14ac:dyDescent="0.25">
      <c r="A12" s="53">
        <v>5</v>
      </c>
      <c r="B12" s="54" t="s">
        <v>56</v>
      </c>
      <c r="C12" s="55">
        <v>26270981.806814201</v>
      </c>
      <c r="D12" s="56">
        <v>24679557.21480158</v>
      </c>
      <c r="E12" s="56">
        <v>17037392.591574989</v>
      </c>
      <c r="F12" s="56">
        <v>14486984.605279732</v>
      </c>
      <c r="G12" s="57">
        <v>12133949.698290095</v>
      </c>
      <c r="K12" s="58">
        <v>8581167.2055233996</v>
      </c>
      <c r="L12" s="56">
        <v>10308419.729979118</v>
      </c>
      <c r="M12" s="56">
        <v>6942485.309496766</v>
      </c>
      <c r="N12" s="57">
        <v>8981159.282382451</v>
      </c>
    </row>
    <row r="13" spans="1:14" ht="15" x14ac:dyDescent="0.25">
      <c r="A13" s="53">
        <v>6</v>
      </c>
      <c r="B13" s="54" t="s">
        <v>57</v>
      </c>
      <c r="C13" s="55">
        <v>32642275.900241766</v>
      </c>
      <c r="D13" s="56">
        <v>31439111.162439074</v>
      </c>
      <c r="E13" s="56">
        <v>21664886.055433322</v>
      </c>
      <c r="F13" s="56">
        <v>18251608.740372974</v>
      </c>
      <c r="G13" s="57">
        <v>15552177.06800996</v>
      </c>
      <c r="K13" s="58">
        <v>13119687.070131311</v>
      </c>
      <c r="L13" s="56">
        <v>15779925.709801527</v>
      </c>
      <c r="M13" s="56">
        <v>12782659.366280219</v>
      </c>
      <c r="N13" s="57">
        <v>15671110.145961303</v>
      </c>
    </row>
    <row r="14" spans="1:14" ht="27" x14ac:dyDescent="0.25">
      <c r="A14" s="42"/>
      <c r="B14" s="43" t="s">
        <v>58</v>
      </c>
      <c r="C14" s="61"/>
      <c r="D14" s="62"/>
      <c r="E14" s="62"/>
      <c r="F14" s="62"/>
      <c r="G14" s="63"/>
      <c r="K14" s="64"/>
      <c r="L14" s="65"/>
      <c r="M14" s="65"/>
      <c r="N14" s="66"/>
    </row>
    <row r="15" spans="1:14" ht="21.95" customHeight="1" x14ac:dyDescent="0.25">
      <c r="A15" s="53">
        <v>7</v>
      </c>
      <c r="B15" s="54" t="s">
        <v>59</v>
      </c>
      <c r="C15" s="67">
        <v>126743503.30563916</v>
      </c>
      <c r="D15" s="56">
        <v>120682095.89343537</v>
      </c>
      <c r="E15" s="56">
        <v>88694683.416122541</v>
      </c>
      <c r="F15" s="56">
        <v>70932856.834983379</v>
      </c>
      <c r="G15" s="56">
        <v>57614061.346276328</v>
      </c>
      <c r="K15" s="58">
        <v>57240173.042884499</v>
      </c>
      <c r="L15" s="56">
        <v>68112948.195683539</v>
      </c>
      <c r="M15" s="56">
        <v>53853117.125751503</v>
      </c>
      <c r="N15" s="57">
        <v>71891560.79072018</v>
      </c>
    </row>
    <row r="16" spans="1:14" ht="15" x14ac:dyDescent="0.25">
      <c r="A16" s="42"/>
      <c r="B16" s="43" t="s">
        <v>60</v>
      </c>
      <c r="C16" s="68"/>
      <c r="D16" s="69"/>
      <c r="E16" s="69"/>
      <c r="F16" s="69"/>
      <c r="G16" s="70"/>
      <c r="K16" s="47"/>
      <c r="L16" s="45"/>
      <c r="M16" s="45"/>
      <c r="N16" s="46"/>
    </row>
    <row r="17" spans="1:14" ht="15" x14ac:dyDescent="0.25">
      <c r="A17" s="53"/>
      <c r="B17" s="48" t="s">
        <v>61</v>
      </c>
      <c r="C17" s="71"/>
      <c r="D17" s="72"/>
      <c r="E17" s="72"/>
      <c r="F17" s="72"/>
      <c r="G17" s="73"/>
      <c r="K17" s="52"/>
      <c r="L17" s="50"/>
      <c r="M17" s="50"/>
      <c r="N17" s="51"/>
    </row>
    <row r="18" spans="1:14" ht="15" x14ac:dyDescent="0.25">
      <c r="A18" s="53">
        <v>8</v>
      </c>
      <c r="B18" s="54" t="s">
        <v>62</v>
      </c>
      <c r="C18" s="74">
        <f>C8/C$15</f>
        <v>0.41788877385743894</v>
      </c>
      <c r="D18" s="74">
        <v>0.43848661706906084</v>
      </c>
      <c r="E18" s="74">
        <v>0.53252987024939613</v>
      </c>
      <c r="F18" s="74">
        <v>0.69720317586994696</v>
      </c>
      <c r="G18" s="74">
        <v>0.88001461264531899</v>
      </c>
      <c r="K18" s="75">
        <v>0.84750240890528561</v>
      </c>
      <c r="L18" s="76">
        <v>0.6905158761426301</v>
      </c>
      <c r="M18" s="76">
        <v>0.88516899790013392</v>
      </c>
      <c r="N18" s="77">
        <v>0.67855989734329025</v>
      </c>
    </row>
    <row r="19" spans="1:14" ht="15" customHeight="1" x14ac:dyDescent="0.25">
      <c r="A19" s="53">
        <v>9</v>
      </c>
      <c r="B19" s="54" t="s">
        <v>63</v>
      </c>
      <c r="C19" s="74">
        <f>C9/C$15</f>
        <v>0.41788877385743894</v>
      </c>
      <c r="D19" s="74">
        <v>0.43848661706906084</v>
      </c>
      <c r="E19" s="74">
        <v>0.53252987024939613</v>
      </c>
      <c r="F19" s="74">
        <v>0.69720317586994696</v>
      </c>
      <c r="G19" s="74">
        <v>0.88001461264531899</v>
      </c>
      <c r="K19" s="75">
        <v>0.84750240890528561</v>
      </c>
      <c r="L19" s="76">
        <v>0.6905158761426301</v>
      </c>
      <c r="M19" s="76">
        <v>0.88516899790013392</v>
      </c>
      <c r="N19" s="77">
        <v>0.67855989734329025</v>
      </c>
    </row>
    <row r="20" spans="1:14" ht="15" x14ac:dyDescent="0.25">
      <c r="A20" s="53">
        <v>10</v>
      </c>
      <c r="B20" s="54" t="s">
        <v>64</v>
      </c>
      <c r="C20" s="74">
        <f>C10/C$15</f>
        <v>0.44397492355165286</v>
      </c>
      <c r="D20" s="74">
        <v>0.46230953776591949</v>
      </c>
      <c r="E20" s="74">
        <v>0.56494443997632737</v>
      </c>
      <c r="F20" s="74">
        <v>0.73773446317856806</v>
      </c>
      <c r="G20" s="74">
        <v>0.9299156252248777</v>
      </c>
      <c r="K20" s="75">
        <v>0.9050694887170686</v>
      </c>
      <c r="L20" s="76">
        <v>0.7403280498904552</v>
      </c>
      <c r="M20" s="76">
        <v>0.93856794643796881</v>
      </c>
      <c r="N20" s="77">
        <v>0.71840144089160796</v>
      </c>
    </row>
    <row r="21" spans="1:14" ht="15" x14ac:dyDescent="0.25">
      <c r="A21" s="53">
        <v>11</v>
      </c>
      <c r="B21" s="54" t="s">
        <v>55</v>
      </c>
      <c r="C21" s="74">
        <v>0.16927216336078527</v>
      </c>
      <c r="D21" s="78">
        <v>0.16213202537560589</v>
      </c>
      <c r="E21" s="76">
        <v>0.15263864725926696</v>
      </c>
      <c r="F21" s="76">
        <v>0.16409964793967108</v>
      </c>
      <c r="G21" s="76">
        <v>0.17564313693377337</v>
      </c>
      <c r="K21" s="75">
        <v>0.11242979386532521</v>
      </c>
      <c r="L21" s="76">
        <v>0.11350161538319323</v>
      </c>
      <c r="M21" s="76">
        <v>9.6683477006177396E-2</v>
      </c>
      <c r="N21" s="77">
        <v>9.3692447483227914E-2</v>
      </c>
    </row>
    <row r="22" spans="1:14" ht="15" x14ac:dyDescent="0.25">
      <c r="A22" s="53">
        <v>12</v>
      </c>
      <c r="B22" s="79" t="s">
        <v>56</v>
      </c>
      <c r="C22" s="74">
        <v>0.20727675282465807</v>
      </c>
      <c r="D22" s="78">
        <v>0.20450056847367074</v>
      </c>
      <c r="E22" s="76">
        <v>0.19209034786946436</v>
      </c>
      <c r="F22" s="76">
        <v>0.20423517748597003</v>
      </c>
      <c r="G22" s="76">
        <v>0.21060743531621084</v>
      </c>
      <c r="K22" s="75">
        <v>0.14991511641822544</v>
      </c>
      <c r="L22" s="76">
        <v>0.151343026591123</v>
      </c>
      <c r="M22" s="76">
        <v>0.12891519897140746</v>
      </c>
      <c r="N22" s="77">
        <v>0.12492647514674277</v>
      </c>
    </row>
    <row r="23" spans="1:14" ht="15" x14ac:dyDescent="0.25">
      <c r="A23" s="53">
        <v>13</v>
      </c>
      <c r="B23" s="54" t="s">
        <v>57</v>
      </c>
      <c r="C23" s="74">
        <v>0.25754594948764858</v>
      </c>
      <c r="D23" s="78">
        <v>0.26051180939217711</v>
      </c>
      <c r="E23" s="76">
        <v>0.24426363814603991</v>
      </c>
      <c r="F23" s="76">
        <v>0.25730824267846863</v>
      </c>
      <c r="G23" s="76">
        <v>0.26993717687314395</v>
      </c>
      <c r="K23" s="75">
        <v>0.22920418252932262</v>
      </c>
      <c r="L23" s="76">
        <v>0.23167292163696906</v>
      </c>
      <c r="M23" s="76">
        <v>0.2373615502410315</v>
      </c>
      <c r="N23" s="77">
        <v>0.2179826112216518</v>
      </c>
    </row>
    <row r="24" spans="1:14" ht="15" x14ac:dyDescent="0.25">
      <c r="A24" s="42"/>
      <c r="B24" s="43" t="s">
        <v>65</v>
      </c>
      <c r="C24" s="61"/>
      <c r="D24" s="62"/>
      <c r="E24" s="62"/>
      <c r="F24" s="62"/>
      <c r="G24" s="63"/>
      <c r="K24" s="64"/>
      <c r="L24" s="65"/>
      <c r="M24" s="65"/>
      <c r="N24" s="66"/>
    </row>
    <row r="25" spans="1:14" ht="15" customHeight="1" x14ac:dyDescent="0.25">
      <c r="A25" s="80">
        <v>14</v>
      </c>
      <c r="B25" s="81" t="s">
        <v>66</v>
      </c>
      <c r="C25" s="82">
        <v>9.200315630880207E-2</v>
      </c>
      <c r="D25" s="82">
        <v>7.7535439963021022E-2</v>
      </c>
      <c r="E25" s="83">
        <v>7.2860756946315566E-2</v>
      </c>
      <c r="F25" s="83">
        <v>6.3219954094251546E-2</v>
      </c>
      <c r="G25" s="84">
        <v>6.871515570245626E-2</v>
      </c>
      <c r="H25" s="85"/>
      <c r="K25" s="86">
        <v>6.9976078573742315E-2</v>
      </c>
      <c r="L25" s="83">
        <v>8.6712764166882422E-2</v>
      </c>
      <c r="M25" s="83">
        <v>6.8644437943282871E-2</v>
      </c>
      <c r="N25" s="84">
        <v>6.6340453031664887E-2</v>
      </c>
    </row>
    <row r="26" spans="1:14" ht="15" x14ac:dyDescent="0.25">
      <c r="A26" s="80">
        <v>15</v>
      </c>
      <c r="B26" s="81" t="s">
        <v>67</v>
      </c>
      <c r="C26" s="82">
        <v>5.8508787000952918E-2</v>
      </c>
      <c r="D26" s="87">
        <v>4.4284697999869553E-2</v>
      </c>
      <c r="E26" s="83">
        <v>3.7486925624787927E-2</v>
      </c>
      <c r="F26" s="83">
        <v>1.9930076898371032E-2</v>
      </c>
      <c r="G26" s="84">
        <v>1.8944117503635696E-2</v>
      </c>
      <c r="H26" s="85"/>
      <c r="K26" s="86">
        <v>2.9409129873193305E-2</v>
      </c>
      <c r="L26" s="83">
        <v>3.7733216878770522E-2</v>
      </c>
      <c r="M26" s="83">
        <v>3.1564328779412947E-2</v>
      </c>
      <c r="N26" s="84">
        <v>3.1725445419185233E-2</v>
      </c>
    </row>
    <row r="27" spans="1:14" ht="15" x14ac:dyDescent="0.25">
      <c r="A27" s="80">
        <v>16</v>
      </c>
      <c r="B27" s="81" t="s">
        <v>68</v>
      </c>
      <c r="C27" s="82">
        <v>-5.5714462191009409E-2</v>
      </c>
      <c r="D27" s="87">
        <v>-5.0980843798509555E-2</v>
      </c>
      <c r="E27" s="83">
        <v>-4.6088032368245886E-2</v>
      </c>
      <c r="F27" s="83">
        <v>-4.0784680519248731E-2</v>
      </c>
      <c r="G27" s="84">
        <v>-3.6757572980345238E-2</v>
      </c>
      <c r="H27" s="85"/>
      <c r="K27" s="86">
        <v>-2.5967160101922751E-2</v>
      </c>
      <c r="L27" s="83">
        <v>-3.3195023967773338E-2</v>
      </c>
      <c r="M27" s="83">
        <v>-2.6266127410361082E-2</v>
      </c>
      <c r="N27" s="84">
        <v>-3.0832339776697228E-2</v>
      </c>
    </row>
    <row r="28" spans="1:14" ht="15" x14ac:dyDescent="0.25">
      <c r="A28" s="80">
        <v>17</v>
      </c>
      <c r="B28" s="81" t="s">
        <v>69</v>
      </c>
      <c r="C28" s="82">
        <v>3.3494369307849152E-2</v>
      </c>
      <c r="D28" s="87">
        <v>3.3250741963151476E-2</v>
      </c>
      <c r="E28" s="83">
        <v>3.5373831321527632E-2</v>
      </c>
      <c r="F28" s="83">
        <v>4.3289877195880518E-2</v>
      </c>
      <c r="G28" s="84">
        <v>4.9771038198820568E-2</v>
      </c>
      <c r="H28" s="85"/>
      <c r="K28" s="86">
        <v>4.0566948700549006E-2</v>
      </c>
      <c r="L28" s="83">
        <v>4.8979547288111901E-2</v>
      </c>
      <c r="M28" s="83">
        <v>3.7080109163869925E-2</v>
      </c>
      <c r="N28" s="84">
        <v>3.4615007612479654E-2</v>
      </c>
    </row>
    <row r="29" spans="1:14" ht="15" x14ac:dyDescent="0.25">
      <c r="A29" s="80">
        <v>18</v>
      </c>
      <c r="B29" s="81" t="s">
        <v>70</v>
      </c>
      <c r="C29" s="82">
        <v>-3.0502503755938781E-2</v>
      </c>
      <c r="D29" s="87">
        <v>-6.0309496137747956E-2</v>
      </c>
      <c r="E29" s="83">
        <v>-5.2010519987636741E-2</v>
      </c>
      <c r="F29" s="83">
        <v>-5.092813629758406E-2</v>
      </c>
      <c r="G29" s="84">
        <v>-5.5093624167006743E-2</v>
      </c>
      <c r="H29" s="85"/>
      <c r="K29" s="86">
        <v>-3.3122255484799017E-2</v>
      </c>
      <c r="L29" s="83">
        <v>-4.8911011129122245E-2</v>
      </c>
      <c r="M29" s="83">
        <v>-4.3456904238065724E-2</v>
      </c>
      <c r="N29" s="84">
        <v>-3.6956771619234767E-2</v>
      </c>
    </row>
    <row r="30" spans="1:14" ht="15" x14ac:dyDescent="0.25">
      <c r="A30" s="80">
        <v>19</v>
      </c>
      <c r="B30" s="81" t="s">
        <v>71</v>
      </c>
      <c r="C30" s="82">
        <v>-9.0847218844899644E-2</v>
      </c>
      <c r="D30" s="87">
        <v>-0.13505280416086754</v>
      </c>
      <c r="E30" s="83">
        <v>-0.10451859967494685</v>
      </c>
      <c r="F30" s="83">
        <v>-8.5388117838136657E-2</v>
      </c>
      <c r="G30" s="84">
        <v>-8.206638848692803E-2</v>
      </c>
      <c r="H30" s="85"/>
      <c r="K30" s="86">
        <v>-5.4955915971710907E-2</v>
      </c>
      <c r="L30" s="83">
        <v>-8.0165581024978935E-2</v>
      </c>
      <c r="M30" s="83">
        <v>-7.1654535872239203E-2</v>
      </c>
      <c r="N30" s="84">
        <v>-6.2810585501920951E-2</v>
      </c>
    </row>
    <row r="31" spans="1:14" ht="15" x14ac:dyDescent="0.25">
      <c r="A31" s="42"/>
      <c r="B31" s="43" t="s">
        <v>72</v>
      </c>
      <c r="C31" s="61"/>
      <c r="D31" s="62"/>
      <c r="E31" s="62"/>
      <c r="F31" s="62"/>
      <c r="G31" s="63"/>
      <c r="K31" s="64"/>
      <c r="L31" s="65"/>
      <c r="M31" s="65"/>
      <c r="N31" s="66"/>
    </row>
    <row r="32" spans="1:14" ht="15" x14ac:dyDescent="0.25">
      <c r="A32" s="80">
        <v>20</v>
      </c>
      <c r="B32" s="81" t="s">
        <v>73</v>
      </c>
      <c r="C32" s="88">
        <f>'24. Risk Sector'!F33/'24. Risk Sector'!C33</f>
        <v>8.1727174329576796E-3</v>
      </c>
      <c r="D32" s="87">
        <v>2.1832662512139049E-2</v>
      </c>
      <c r="E32" s="83">
        <v>4.0539867266098477E-2</v>
      </c>
      <c r="F32" s="83">
        <v>5.6273561937663592E-2</v>
      </c>
      <c r="G32" s="84">
        <v>6.812416279729494E-2</v>
      </c>
      <c r="K32" s="86">
        <v>7.1593592432212444E-2</v>
      </c>
      <c r="L32" s="83">
        <v>9.7700818052230035E-2</v>
      </c>
      <c r="M32" s="83">
        <v>0.1459437829377751</v>
      </c>
      <c r="N32" s="84">
        <v>0.16505744055088239</v>
      </c>
    </row>
    <row r="33" spans="1:14" ht="15" customHeight="1" x14ac:dyDescent="0.25">
      <c r="A33" s="80">
        <v>21</v>
      </c>
      <c r="B33" s="81" t="s">
        <v>74</v>
      </c>
      <c r="C33" s="88">
        <v>1.9452296566206072E-2</v>
      </c>
      <c r="D33" s="87">
        <v>3.0115483956873659E-2</v>
      </c>
      <c r="E33" s="83">
        <v>3.7767339589549247E-2</v>
      </c>
      <c r="F33" s="83">
        <v>4.524543007917637E-2</v>
      </c>
      <c r="G33" s="84">
        <v>4.8700707842852749E-2</v>
      </c>
      <c r="K33" s="86">
        <v>4.2022503882801265E-2</v>
      </c>
      <c r="L33" s="83">
        <v>5.0902620948851923E-2</v>
      </c>
      <c r="M33" s="83">
        <v>6.4883518819109212E-2</v>
      </c>
      <c r="N33" s="84">
        <v>6.9545281550102159E-2</v>
      </c>
    </row>
    <row r="34" spans="1:14" ht="15" x14ac:dyDescent="0.25">
      <c r="A34" s="80">
        <v>22</v>
      </c>
      <c r="B34" s="81" t="s">
        <v>75</v>
      </c>
      <c r="C34" s="88">
        <v>0.35357684417304003</v>
      </c>
      <c r="D34" s="87">
        <v>0.31518467966823016</v>
      </c>
      <c r="E34" s="83">
        <v>0.43036893477315696</v>
      </c>
      <c r="F34" s="83">
        <v>0.39556562021042679</v>
      </c>
      <c r="G34" s="84">
        <v>0.39067944788619285</v>
      </c>
      <c r="K34" s="86">
        <v>0.37000812830572832</v>
      </c>
      <c r="L34" s="83">
        <v>0.33008692441883963</v>
      </c>
      <c r="M34" s="83">
        <v>0.19592437409026345</v>
      </c>
      <c r="N34" s="84">
        <v>0.22430830972248131</v>
      </c>
    </row>
    <row r="35" spans="1:14" ht="15" customHeight="1" x14ac:dyDescent="0.25">
      <c r="A35" s="80">
        <v>23</v>
      </c>
      <c r="B35" s="81" t="s">
        <v>76</v>
      </c>
      <c r="C35" s="88">
        <v>0.19582523758523759</v>
      </c>
      <c r="D35" s="87">
        <v>0.19583295684979968</v>
      </c>
      <c r="E35" s="83">
        <v>0.15726929087587752</v>
      </c>
      <c r="F35" s="83">
        <v>9.7451449403516091E-2</v>
      </c>
      <c r="G35" s="84">
        <v>0.17916446177110151</v>
      </c>
      <c r="K35" s="86">
        <v>0.14465277297749282</v>
      </c>
      <c r="L35" s="83">
        <v>0.1977002062449103</v>
      </c>
      <c r="M35" s="83">
        <v>7.5296942059711172E-2</v>
      </c>
      <c r="N35" s="84">
        <v>0.21782155335133591</v>
      </c>
    </row>
    <row r="36" spans="1:14" ht="15" x14ac:dyDescent="0.25">
      <c r="A36" s="80">
        <v>24</v>
      </c>
      <c r="B36" s="81" t="s">
        <v>77</v>
      </c>
      <c r="C36" s="82">
        <v>0.25224974498701153</v>
      </c>
      <c r="D36" s="87">
        <v>1.8824198694956844</v>
      </c>
      <c r="E36" s="83">
        <v>0.6149716047200815</v>
      </c>
      <c r="F36" s="83">
        <v>0.12520805739140259</v>
      </c>
      <c r="G36" s="84">
        <v>-6.3847306915676527E-2</v>
      </c>
      <c r="K36" s="86">
        <v>0.21923715516628856</v>
      </c>
      <c r="L36" s="83">
        <v>0.46099129096252295</v>
      </c>
      <c r="M36" s="83">
        <v>1.3803265912725002E-2</v>
      </c>
      <c r="N36" s="89">
        <v>7.1589516154703706E-4</v>
      </c>
    </row>
    <row r="37" spans="1:14" ht="15" customHeight="1" x14ac:dyDescent="0.25">
      <c r="A37" s="42"/>
      <c r="B37" s="43" t="s">
        <v>78</v>
      </c>
      <c r="C37" s="90"/>
      <c r="D37" s="91"/>
      <c r="E37" s="91"/>
      <c r="F37" s="91"/>
      <c r="G37" s="92"/>
      <c r="K37" s="64"/>
      <c r="L37" s="65"/>
      <c r="M37" s="65"/>
      <c r="N37" s="66"/>
    </row>
    <row r="38" spans="1:14" ht="15" customHeight="1" x14ac:dyDescent="0.25">
      <c r="A38" s="80">
        <v>25</v>
      </c>
      <c r="B38" s="81" t="s">
        <v>79</v>
      </c>
      <c r="C38" s="88">
        <v>0.26972521152107359</v>
      </c>
      <c r="D38" s="82">
        <v>0.28912024057597607</v>
      </c>
      <c r="E38" s="88">
        <v>0.27565816724166298</v>
      </c>
      <c r="F38" s="88">
        <v>0.34716100710979098</v>
      </c>
      <c r="G38" s="93">
        <v>0.43477256414539994</v>
      </c>
      <c r="K38" s="94">
        <v>0.35278899881582926</v>
      </c>
      <c r="L38" s="88">
        <v>0.32247973720512596</v>
      </c>
      <c r="M38" s="88">
        <v>0.44772812081063196</v>
      </c>
      <c r="N38" s="93">
        <v>0.35465761211009106</v>
      </c>
    </row>
    <row r="39" spans="1:14" ht="15" customHeight="1" x14ac:dyDescent="0.25">
      <c r="A39" s="80">
        <v>26</v>
      </c>
      <c r="B39" s="81" t="s">
        <v>80</v>
      </c>
      <c r="C39" s="88">
        <v>0.22596071470268353</v>
      </c>
      <c r="D39" s="82">
        <v>0.20831236350067919</v>
      </c>
      <c r="E39" s="88">
        <v>0.20196748306875525</v>
      </c>
      <c r="F39" s="88">
        <v>0.16939085636526741</v>
      </c>
      <c r="G39" s="93">
        <v>0.35805597760042157</v>
      </c>
      <c r="K39" s="94">
        <v>0.2688375631872657</v>
      </c>
      <c r="L39" s="88">
        <v>0.2686654432456681</v>
      </c>
      <c r="M39" s="88">
        <v>0.16477854600384689</v>
      </c>
      <c r="N39" s="93">
        <v>0.13308155848890119</v>
      </c>
    </row>
    <row r="40" spans="1:14" ht="15" customHeight="1" x14ac:dyDescent="0.25">
      <c r="A40" s="80">
        <v>27</v>
      </c>
      <c r="B40" s="95" t="s">
        <v>81</v>
      </c>
      <c r="C40" s="82">
        <v>0.14460847235995242</v>
      </c>
      <c r="D40" s="82">
        <v>0.10698037966067793</v>
      </c>
      <c r="E40" s="88">
        <v>8.2859139345820607E-2</v>
      </c>
      <c r="F40" s="88">
        <v>9.4277042563089886E-2</v>
      </c>
      <c r="G40" s="93">
        <v>0.12064636343155606</v>
      </c>
      <c r="K40" s="94">
        <v>0.14195045816821317</v>
      </c>
      <c r="L40" s="88">
        <v>0.12465381841449046</v>
      </c>
      <c r="M40" s="88">
        <v>8.4388384081508658E-2</v>
      </c>
      <c r="N40" s="93">
        <v>0.1256366601234441</v>
      </c>
    </row>
    <row r="41" spans="1:14" ht="15" customHeight="1" x14ac:dyDescent="0.25">
      <c r="A41" s="96"/>
      <c r="B41" s="43" t="s">
        <v>82</v>
      </c>
      <c r="C41" s="61"/>
      <c r="D41" s="62"/>
      <c r="E41" s="62"/>
      <c r="F41" s="62"/>
      <c r="G41" s="63"/>
      <c r="K41" s="64"/>
      <c r="L41" s="65"/>
      <c r="M41" s="65"/>
      <c r="N41" s="66"/>
    </row>
    <row r="42" spans="1:14" ht="15" customHeight="1" x14ac:dyDescent="0.25">
      <c r="A42" s="80">
        <v>28</v>
      </c>
      <c r="B42" s="97" t="s">
        <v>83</v>
      </c>
      <c r="C42" s="55">
        <f>'14. LCR'!H23</f>
        <v>76072287.430000007</v>
      </c>
      <c r="D42" s="55">
        <v>74710514.070000008</v>
      </c>
      <c r="E42" s="98">
        <v>96974791.719999999</v>
      </c>
      <c r="F42" s="98">
        <v>44459514.869999997</v>
      </c>
      <c r="G42" s="99">
        <v>36068071.213978499</v>
      </c>
      <c r="K42" s="100">
        <v>28839575.869999997</v>
      </c>
      <c r="L42" s="95">
        <v>39070286.440000005</v>
      </c>
      <c r="M42" s="95">
        <v>37577645.133626401</v>
      </c>
      <c r="N42" s="101">
        <v>33641079.189999998</v>
      </c>
    </row>
    <row r="43" spans="1:14" ht="15" x14ac:dyDescent="0.25">
      <c r="A43" s="80">
        <v>29</v>
      </c>
      <c r="B43" s="81" t="s">
        <v>84</v>
      </c>
      <c r="C43" s="55">
        <f>'14. LCR'!H24</f>
        <v>15889032.896350004</v>
      </c>
      <c r="D43" s="55">
        <v>11383112.439399999</v>
      </c>
      <c r="E43" s="102">
        <v>14300782.389699999</v>
      </c>
      <c r="F43" s="102">
        <v>14725616.939399999</v>
      </c>
      <c r="G43" s="103">
        <v>12130233.89205</v>
      </c>
      <c r="K43" s="104">
        <v>12047888.378249999</v>
      </c>
      <c r="L43" s="105">
        <v>13254812.613400001</v>
      </c>
      <c r="M43" s="105">
        <v>12869564.5162</v>
      </c>
      <c r="N43" s="106">
        <v>11877040.71415</v>
      </c>
    </row>
    <row r="44" spans="1:14" ht="15" x14ac:dyDescent="0.25">
      <c r="A44" s="107">
        <v>30</v>
      </c>
      <c r="B44" s="108" t="s">
        <v>85</v>
      </c>
      <c r="C44" s="109">
        <f>C42/C43</f>
        <v>4.7877229486682715</v>
      </c>
      <c r="D44" s="109">
        <v>6.5632764736125173</v>
      </c>
      <c r="E44" s="110">
        <v>6.7810829559818462</v>
      </c>
      <c r="F44" s="110">
        <v>3.0191953962243647</v>
      </c>
      <c r="G44" s="110">
        <v>2.9734027830755227</v>
      </c>
      <c r="K44" s="94">
        <v>2.3937452742394227</v>
      </c>
      <c r="L44" s="88">
        <v>2.9476302366207543</v>
      </c>
      <c r="M44" s="88">
        <v>2.9198847471741773</v>
      </c>
      <c r="N44" s="93">
        <v>2.8324462296336899</v>
      </c>
    </row>
    <row r="45" spans="1:14" ht="15" x14ac:dyDescent="0.25">
      <c r="A45" s="107"/>
      <c r="B45" s="43" t="s">
        <v>30</v>
      </c>
      <c r="C45" s="61"/>
      <c r="D45" s="62"/>
      <c r="E45" s="62"/>
      <c r="F45" s="62"/>
      <c r="G45" s="63"/>
      <c r="K45" s="64"/>
      <c r="L45" s="65"/>
      <c r="M45" s="65"/>
      <c r="N45" s="66"/>
    </row>
    <row r="46" spans="1:14" ht="15" x14ac:dyDescent="0.25">
      <c r="A46" s="107">
        <v>31</v>
      </c>
      <c r="B46" s="108" t="s">
        <v>86</v>
      </c>
      <c r="C46" s="55">
        <f>'16. NSFR'!G21</f>
        <v>131361604.27428979</v>
      </c>
      <c r="D46" s="111">
        <v>119103609.23161648</v>
      </c>
      <c r="E46" s="111">
        <v>106656234.33489899</v>
      </c>
      <c r="F46" s="111">
        <v>99197616.174378678</v>
      </c>
      <c r="G46" s="112">
        <v>63614640.219067007</v>
      </c>
      <c r="K46" s="113">
        <v>61318055.754500002</v>
      </c>
      <c r="L46" s="114">
        <v>57487096.908499993</v>
      </c>
      <c r="M46" s="114">
        <v>56004417.652500004</v>
      </c>
      <c r="N46" s="115">
        <v>60000891.506999999</v>
      </c>
    </row>
    <row r="47" spans="1:14" ht="15" x14ac:dyDescent="0.25">
      <c r="A47" s="107">
        <v>32</v>
      </c>
      <c r="B47" s="108" t="s">
        <v>87</v>
      </c>
      <c r="C47" s="55">
        <f>'16. NSFR'!G37</f>
        <v>81663496.111102581</v>
      </c>
      <c r="D47" s="111">
        <v>74728023.551567301</v>
      </c>
      <c r="E47" s="111">
        <v>52644786.448199168</v>
      </c>
      <c r="F47" s="111">
        <v>43498444.916133597</v>
      </c>
      <c r="G47" s="112">
        <v>37545109.733712941</v>
      </c>
      <c r="K47" s="113">
        <v>36598605.940775007</v>
      </c>
      <c r="L47" s="114">
        <v>39372851.676900022</v>
      </c>
      <c r="M47" s="114">
        <v>31849325.489900008</v>
      </c>
      <c r="N47" s="115">
        <v>31615845.140500002</v>
      </c>
    </row>
    <row r="48" spans="1:14" thickBot="1" x14ac:dyDescent="0.3">
      <c r="A48" s="116">
        <v>33</v>
      </c>
      <c r="B48" s="117" t="s">
        <v>88</v>
      </c>
      <c r="C48" s="118">
        <f>C46/C47</f>
        <v>1.608571889887904</v>
      </c>
      <c r="D48" s="119">
        <v>1.5938279051288848</v>
      </c>
      <c r="E48" s="120">
        <v>2.0259600528505404</v>
      </c>
      <c r="F48" s="120">
        <v>2.2804864947617065</v>
      </c>
      <c r="G48" s="121">
        <v>1.6943522251033778</v>
      </c>
      <c r="K48" s="122">
        <v>1.6754205297799258</v>
      </c>
      <c r="L48" s="123">
        <v>1.4600694249999566</v>
      </c>
      <c r="M48" s="123">
        <v>1.7584176993092053</v>
      </c>
      <c r="N48" s="124">
        <v>1.8978107730588123</v>
      </c>
    </row>
    <row r="49" spans="1:3" x14ac:dyDescent="0.3">
      <c r="A49" s="125"/>
      <c r="C49" s="126">
        <f>C48-'16. NSFR'!G39</f>
        <v>0</v>
      </c>
    </row>
    <row r="50" spans="1:3" ht="54.75" x14ac:dyDescent="0.3">
      <c r="B50" s="128" t="s">
        <v>89</v>
      </c>
    </row>
    <row r="51" spans="1:3" ht="122.25" x14ac:dyDescent="0.3">
      <c r="B51" s="129" t="s">
        <v>90</v>
      </c>
    </row>
  </sheetData>
  <mergeCells count="11">
    <mergeCell ref="K31:N31"/>
    <mergeCell ref="K37:N37"/>
    <mergeCell ref="K41:N41"/>
    <mergeCell ref="K45:N45"/>
    <mergeCell ref="K4:N4"/>
    <mergeCell ref="K6:N7"/>
    <mergeCell ref="K14:N14"/>
    <mergeCell ref="K16:N17"/>
    <mergeCell ref="K24:N24"/>
    <mergeCell ref="D4:G4"/>
    <mergeCell ref="C6:G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6BCF-4BBF-4E1B-85CF-5011602A9E44}">
  <dimension ref="A1:M34"/>
  <sheetViews>
    <sheetView showGridLines="0" topLeftCell="A4" zoomScaleNormal="100" workbookViewId="0">
      <selection activeCell="C8" sqref="C8:H22"/>
    </sheetView>
  </sheetViews>
  <sheetFormatPr defaultColWidth="9.140625" defaultRowHeight="12.75" x14ac:dyDescent="0.25"/>
  <cols>
    <col min="1" max="1" width="11.85546875" style="656" bestFit="1" customWidth="1"/>
    <col min="2" max="2" width="92.28515625" style="656" customWidth="1"/>
    <col min="3" max="4" width="15.28515625" style="656" customWidth="1"/>
    <col min="5" max="5" width="17.42578125" style="656" bestFit="1" customWidth="1"/>
    <col min="6" max="6" width="15.85546875" style="656" customWidth="1"/>
    <col min="7" max="7" width="16" style="656" customWidth="1"/>
    <col min="8" max="8" width="16.85546875" style="656" customWidth="1"/>
    <col min="9" max="9" width="12.28515625" style="876" bestFit="1" customWidth="1"/>
    <col min="10" max="10" width="10.140625" style="876" bestFit="1" customWidth="1"/>
    <col min="11" max="13" width="9.140625" style="876"/>
    <col min="14" max="16384" width="9.140625" style="656"/>
  </cols>
  <sheetData>
    <row r="1" spans="1:11" ht="13.5" x14ac:dyDescent="0.25">
      <c r="A1" s="655" t="s">
        <v>41</v>
      </c>
      <c r="B1" s="24" t="str">
        <f>Info!C2</f>
        <v>სს სილქ ბანკი</v>
      </c>
    </row>
    <row r="2" spans="1:11" x14ac:dyDescent="0.25">
      <c r="A2" s="655" t="s">
        <v>42</v>
      </c>
      <c r="B2" s="657">
        <f>'1. key ratios'!B2</f>
        <v>45382</v>
      </c>
    </row>
    <row r="3" spans="1:11" x14ac:dyDescent="0.25">
      <c r="A3" s="658" t="s">
        <v>565</v>
      </c>
    </row>
    <row r="4" spans="1:11" ht="40.5" customHeight="1" x14ac:dyDescent="0.25"/>
    <row r="5" spans="1:11" x14ac:dyDescent="0.25">
      <c r="A5" s="659" t="s">
        <v>566</v>
      </c>
      <c r="B5" s="660"/>
      <c r="C5" s="661" t="s">
        <v>567</v>
      </c>
      <c r="D5" s="662"/>
      <c r="E5" s="662"/>
      <c r="F5" s="662"/>
      <c r="G5" s="662"/>
      <c r="H5" s="663"/>
    </row>
    <row r="6" spans="1:11" x14ac:dyDescent="0.25">
      <c r="A6" s="664"/>
      <c r="B6" s="665"/>
      <c r="C6" s="666"/>
      <c r="D6" s="667"/>
      <c r="E6" s="667"/>
      <c r="F6" s="667"/>
      <c r="G6" s="667"/>
      <c r="H6" s="668"/>
    </row>
    <row r="7" spans="1:11" ht="38.25" x14ac:dyDescent="0.25">
      <c r="A7" s="669"/>
      <c r="B7" s="670"/>
      <c r="C7" s="671" t="s">
        <v>568</v>
      </c>
      <c r="D7" s="671" t="s">
        <v>569</v>
      </c>
      <c r="E7" s="671" t="s">
        <v>570</v>
      </c>
      <c r="F7" s="671" t="s">
        <v>571</v>
      </c>
      <c r="G7" s="671" t="s">
        <v>572</v>
      </c>
      <c r="H7" s="671" t="s">
        <v>96</v>
      </c>
    </row>
    <row r="8" spans="1:11" x14ac:dyDescent="0.25">
      <c r="A8" s="672">
        <v>1</v>
      </c>
      <c r="B8" s="673" t="s">
        <v>408</v>
      </c>
      <c r="C8" s="674">
        <v>3498499.9600000288</v>
      </c>
      <c r="D8" s="675">
        <v>0</v>
      </c>
      <c r="E8" s="674">
        <v>22859391.017353091</v>
      </c>
      <c r="F8" s="674">
        <v>1449022.8740159639</v>
      </c>
      <c r="G8" s="676"/>
      <c r="H8" s="675">
        <f t="shared" ref="H8:H21" si="0">SUM(C8:G8)</f>
        <v>27806913.851369083</v>
      </c>
      <c r="I8" s="877"/>
    </row>
    <row r="9" spans="1:11" ht="24" x14ac:dyDescent="0.25">
      <c r="A9" s="672">
        <v>2</v>
      </c>
      <c r="B9" s="673" t="s">
        <v>409</v>
      </c>
      <c r="C9" s="676"/>
      <c r="D9" s="676"/>
      <c r="E9" s="676"/>
      <c r="F9" s="676"/>
      <c r="G9" s="676"/>
      <c r="H9" s="675">
        <f t="shared" si="0"/>
        <v>0</v>
      </c>
      <c r="I9" s="877"/>
    </row>
    <row r="10" spans="1:11" x14ac:dyDescent="0.25">
      <c r="A10" s="672">
        <v>3</v>
      </c>
      <c r="B10" s="673" t="s">
        <v>410</v>
      </c>
      <c r="C10" s="676"/>
      <c r="D10" s="676"/>
      <c r="E10" s="676"/>
      <c r="F10" s="676"/>
      <c r="G10" s="676"/>
      <c r="H10" s="675">
        <f t="shared" si="0"/>
        <v>0</v>
      </c>
      <c r="I10" s="877"/>
    </row>
    <row r="11" spans="1:11" x14ac:dyDescent="0.25">
      <c r="A11" s="672">
        <v>4</v>
      </c>
      <c r="B11" s="673" t="s">
        <v>411</v>
      </c>
      <c r="C11" s="676"/>
      <c r="D11" s="676"/>
      <c r="E11" s="676"/>
      <c r="F11" s="676"/>
      <c r="G11" s="676"/>
      <c r="H11" s="675">
        <f t="shared" si="0"/>
        <v>0</v>
      </c>
      <c r="I11" s="877"/>
      <c r="J11" s="878"/>
    </row>
    <row r="12" spans="1:11" x14ac:dyDescent="0.25">
      <c r="A12" s="672">
        <v>5</v>
      </c>
      <c r="B12" s="673" t="s">
        <v>412</v>
      </c>
      <c r="C12" s="676"/>
      <c r="D12" s="676"/>
      <c r="E12" s="676"/>
      <c r="F12" s="676"/>
      <c r="G12" s="676"/>
      <c r="H12" s="675">
        <f t="shared" si="0"/>
        <v>0</v>
      </c>
      <c r="I12" s="877"/>
    </row>
    <row r="13" spans="1:11" x14ac:dyDescent="0.25">
      <c r="A13" s="672">
        <v>6</v>
      </c>
      <c r="B13" s="673" t="s">
        <v>413</v>
      </c>
      <c r="C13" s="675">
        <v>3848173.7204884961</v>
      </c>
      <c r="D13" s="674">
        <v>46000000</v>
      </c>
      <c r="E13" s="676"/>
      <c r="F13" s="674">
        <v>61699.25</v>
      </c>
      <c r="G13" s="676"/>
      <c r="H13" s="675">
        <f t="shared" si="0"/>
        <v>49909872.970488496</v>
      </c>
      <c r="I13" s="877"/>
      <c r="J13" s="879"/>
    </row>
    <row r="14" spans="1:11" x14ac:dyDescent="0.25">
      <c r="A14" s="678">
        <v>7</v>
      </c>
      <c r="B14" s="679" t="s">
        <v>414</v>
      </c>
      <c r="C14" s="676"/>
      <c r="D14" s="674">
        <v>18710934.050392374</v>
      </c>
      <c r="E14" s="674">
        <v>12653820.877667891</v>
      </c>
      <c r="F14" s="674">
        <v>21217829.270253401</v>
      </c>
      <c r="G14" s="680">
        <v>0</v>
      </c>
      <c r="H14" s="674">
        <f t="shared" si="0"/>
        <v>52582584.198313668</v>
      </c>
      <c r="I14" s="877"/>
      <c r="J14" s="880"/>
      <c r="K14" s="881"/>
    </row>
    <row r="15" spans="1:11" x14ac:dyDescent="0.25">
      <c r="A15" s="678">
        <v>8</v>
      </c>
      <c r="B15" s="679" t="s">
        <v>415</v>
      </c>
      <c r="C15" s="676"/>
      <c r="D15" s="674">
        <v>3243271.1337519935</v>
      </c>
      <c r="E15" s="674">
        <v>11719562.407068215</v>
      </c>
      <c r="F15" s="674">
        <v>2076686.2330036892</v>
      </c>
      <c r="G15" s="674">
        <v>100810.81290501602</v>
      </c>
      <c r="H15" s="674">
        <f>SUM(C15:G15)</f>
        <v>17140330.586728916</v>
      </c>
      <c r="I15" s="877"/>
    </row>
    <row r="16" spans="1:11" x14ac:dyDescent="0.25">
      <c r="A16" s="672">
        <v>9</v>
      </c>
      <c r="B16" s="673" t="s">
        <v>416</v>
      </c>
      <c r="C16" s="676"/>
      <c r="D16" s="675"/>
      <c r="E16" s="675"/>
      <c r="F16" s="675"/>
      <c r="G16" s="676"/>
      <c r="H16" s="675">
        <f t="shared" si="0"/>
        <v>0</v>
      </c>
      <c r="I16" s="882"/>
    </row>
    <row r="17" spans="1:11" x14ac:dyDescent="0.25">
      <c r="A17" s="672">
        <v>10</v>
      </c>
      <c r="B17" s="681" t="s">
        <v>417</v>
      </c>
      <c r="C17" s="676"/>
      <c r="D17" s="675">
        <v>62870.196052316016</v>
      </c>
      <c r="E17" s="675">
        <v>59402.714908292051</v>
      </c>
      <c r="F17" s="675">
        <v>24512.426451159619</v>
      </c>
      <c r="G17" s="675">
        <v>509.91844082561249</v>
      </c>
      <c r="H17" s="675">
        <f t="shared" si="0"/>
        <v>147295.25585259331</v>
      </c>
      <c r="I17" s="877"/>
      <c r="J17" s="878"/>
    </row>
    <row r="18" spans="1:11" x14ac:dyDescent="0.25">
      <c r="A18" s="672">
        <v>11</v>
      </c>
      <c r="B18" s="673" t="s">
        <v>418</v>
      </c>
      <c r="C18" s="676"/>
      <c r="D18" s="680">
        <v>0</v>
      </c>
      <c r="E18" s="680">
        <v>0</v>
      </c>
      <c r="F18" s="676">
        <v>0</v>
      </c>
      <c r="G18" s="680">
        <v>0</v>
      </c>
      <c r="H18" s="675">
        <f t="shared" si="0"/>
        <v>0</v>
      </c>
      <c r="I18" s="877"/>
    </row>
    <row r="19" spans="1:11" x14ac:dyDescent="0.25">
      <c r="A19" s="672">
        <v>12</v>
      </c>
      <c r="B19" s="673" t="s">
        <v>419</v>
      </c>
      <c r="C19" s="676"/>
      <c r="D19" s="676"/>
      <c r="E19" s="676"/>
      <c r="F19" s="676"/>
      <c r="G19" s="676"/>
      <c r="H19" s="675">
        <f t="shared" si="0"/>
        <v>0</v>
      </c>
      <c r="I19" s="882"/>
    </row>
    <row r="20" spans="1:11" x14ac:dyDescent="0.25">
      <c r="A20" s="678">
        <v>13</v>
      </c>
      <c r="B20" s="679" t="s">
        <v>420</v>
      </c>
      <c r="C20" s="676"/>
      <c r="D20" s="676"/>
      <c r="E20" s="676"/>
      <c r="F20" s="676"/>
      <c r="G20" s="676"/>
      <c r="H20" s="675">
        <f t="shared" si="0"/>
        <v>0</v>
      </c>
      <c r="I20" s="882"/>
    </row>
    <row r="21" spans="1:11" x14ac:dyDescent="0.25">
      <c r="A21" s="672">
        <v>14</v>
      </c>
      <c r="B21" s="673" t="s">
        <v>421</v>
      </c>
      <c r="C21" s="682">
        <f>'2. SOFP'!E8</f>
        <v>3465527.6399999983</v>
      </c>
      <c r="D21" s="682">
        <v>11159162.625174731</v>
      </c>
      <c r="E21" s="676"/>
      <c r="F21" s="676"/>
      <c r="G21" s="675">
        <v>17187770</v>
      </c>
      <c r="H21" s="675">
        <f t="shared" si="0"/>
        <v>31812460.265174732</v>
      </c>
      <c r="I21" s="877"/>
      <c r="K21" s="878"/>
    </row>
    <row r="22" spans="1:11" x14ac:dyDescent="0.25">
      <c r="A22" s="683">
        <v>15</v>
      </c>
      <c r="B22" s="684" t="s">
        <v>96</v>
      </c>
      <c r="C22" s="675">
        <f t="shared" ref="C22:H22" si="1">SUM(C18:C21)+SUM(C8:C16)</f>
        <v>10812201.320488524</v>
      </c>
      <c r="D22" s="675">
        <f t="shared" si="1"/>
        <v>79113367.809319094</v>
      </c>
      <c r="E22" s="675">
        <f t="shared" si="1"/>
        <v>47232774.302089199</v>
      </c>
      <c r="F22" s="675">
        <f t="shared" si="1"/>
        <v>24805237.627273057</v>
      </c>
      <c r="G22" s="675">
        <f t="shared" si="1"/>
        <v>17288580.812905017</v>
      </c>
      <c r="H22" s="675">
        <f t="shared" si="1"/>
        <v>179252161.8720749</v>
      </c>
      <c r="I22" s="877"/>
    </row>
    <row r="23" spans="1:11" x14ac:dyDescent="0.25">
      <c r="H23" s="883"/>
    </row>
    <row r="26" spans="1:11" ht="38.25" x14ac:dyDescent="0.25">
      <c r="B26" s="685" t="s">
        <v>573</v>
      </c>
      <c r="F26" s="876"/>
      <c r="G26" s="876"/>
    </row>
    <row r="27" spans="1:11" x14ac:dyDescent="0.25">
      <c r="F27" s="876"/>
      <c r="G27" s="876"/>
    </row>
    <row r="28" spans="1:11" x14ac:dyDescent="0.25">
      <c r="F28" s="876"/>
      <c r="G28" s="876"/>
    </row>
    <row r="29" spans="1:11" x14ac:dyDescent="0.25">
      <c r="F29" s="876"/>
      <c r="G29" s="876"/>
    </row>
    <row r="30" spans="1:11" x14ac:dyDescent="0.25">
      <c r="F30" s="876"/>
      <c r="G30" s="876"/>
    </row>
    <row r="31" spans="1:11" x14ac:dyDescent="0.25">
      <c r="F31" s="876"/>
      <c r="G31" s="876"/>
    </row>
    <row r="32" spans="1:11" x14ac:dyDescent="0.25">
      <c r="F32" s="876"/>
      <c r="G32" s="876"/>
    </row>
    <row r="33" spans="6:7" x14ac:dyDescent="0.25">
      <c r="F33" s="876"/>
      <c r="G33" s="876"/>
    </row>
    <row r="34" spans="6:7" x14ac:dyDescent="0.25">
      <c r="F34" s="876"/>
      <c r="G34" s="876"/>
    </row>
  </sheetData>
  <mergeCells count="2">
    <mergeCell ref="A5:B7"/>
    <mergeCell ref="C5:H6"/>
  </mergeCells>
  <conditionalFormatting sqref="A5">
    <cfRule type="duplicateValues" dxfId="18" priority="1"/>
    <cfRule type="duplicateValues" dxfId="17" priority="2"/>
    <cfRule type="duplicateValues" dxfId="16"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DF9D4-8ABA-411C-A837-7E95800DA51E}">
  <dimension ref="A1:L36"/>
  <sheetViews>
    <sheetView showGridLines="0" zoomScale="85" zoomScaleNormal="85" workbookViewId="0">
      <selection activeCell="C7" sqref="C7:H23"/>
    </sheetView>
  </sheetViews>
  <sheetFormatPr defaultColWidth="9.140625" defaultRowHeight="12.75" x14ac:dyDescent="0.25"/>
  <cols>
    <col min="1" max="1" width="11.85546875" style="714" bestFit="1" customWidth="1"/>
    <col min="2" max="2" width="86.85546875" style="656" customWidth="1"/>
    <col min="3" max="4" width="29.85546875" style="656" customWidth="1"/>
    <col min="5" max="5" width="22.140625" style="656" customWidth="1"/>
    <col min="6" max="6" width="18.42578125" style="656" customWidth="1"/>
    <col min="7" max="7" width="20" style="656" customWidth="1"/>
    <col min="8" max="8" width="25" style="656" customWidth="1"/>
    <col min="9" max="9" width="13.5703125" style="876" customWidth="1"/>
    <col min="10" max="10" width="9.140625" style="876"/>
    <col min="11" max="11" width="14.7109375" style="876" customWidth="1"/>
    <col min="12" max="12" width="9.140625" style="876"/>
    <col min="13" max="16384" width="9.140625" style="656"/>
  </cols>
  <sheetData>
    <row r="1" spans="1:11" ht="13.5" x14ac:dyDescent="0.25">
      <c r="A1" s="655" t="s">
        <v>41</v>
      </c>
      <c r="B1" s="24" t="str">
        <f>Info!C2</f>
        <v>სს სილქ ბანკი</v>
      </c>
      <c r="C1" s="686"/>
      <c r="D1" s="686"/>
      <c r="E1" s="686"/>
      <c r="F1" s="686"/>
      <c r="G1" s="686"/>
      <c r="H1" s="686"/>
    </row>
    <row r="2" spans="1:11" x14ac:dyDescent="0.25">
      <c r="A2" s="655" t="s">
        <v>42</v>
      </c>
      <c r="B2" s="657">
        <f>'1. key ratios'!B2</f>
        <v>45382</v>
      </c>
      <c r="C2" s="686"/>
      <c r="D2" s="686"/>
      <c r="E2" s="686"/>
      <c r="F2" s="686"/>
      <c r="G2" s="686"/>
      <c r="H2" s="686"/>
    </row>
    <row r="3" spans="1:11" x14ac:dyDescent="0.25">
      <c r="A3" s="658" t="s">
        <v>574</v>
      </c>
      <c r="B3" s="686"/>
      <c r="C3" s="686"/>
      <c r="D3" s="686"/>
      <c r="E3" s="686"/>
      <c r="F3" s="686"/>
      <c r="G3" s="686"/>
      <c r="H3" s="686"/>
    </row>
    <row r="4" spans="1:11" ht="40.5" customHeight="1" x14ac:dyDescent="0.25">
      <c r="A4" s="687"/>
      <c r="B4" s="686"/>
      <c r="C4" s="688" t="s">
        <v>575</v>
      </c>
      <c r="D4" s="688" t="s">
        <v>576</v>
      </c>
      <c r="E4" s="688" t="s">
        <v>577</v>
      </c>
      <c r="F4" s="688" t="s">
        <v>578</v>
      </c>
      <c r="G4" s="688" t="s">
        <v>579</v>
      </c>
      <c r="H4" s="688" t="s">
        <v>580</v>
      </c>
    </row>
    <row r="5" spans="1:11" ht="33.950000000000003" customHeight="1" x14ac:dyDescent="0.25">
      <c r="A5" s="659" t="s">
        <v>581</v>
      </c>
      <c r="B5" s="660"/>
      <c r="C5" s="689" t="s">
        <v>582</v>
      </c>
      <c r="D5" s="689"/>
      <c r="E5" s="689" t="s">
        <v>583</v>
      </c>
      <c r="F5" s="690" t="s">
        <v>584</v>
      </c>
      <c r="G5" s="690" t="s">
        <v>585</v>
      </c>
      <c r="H5" s="691" t="s">
        <v>586</v>
      </c>
    </row>
    <row r="6" spans="1:11" ht="25.5" x14ac:dyDescent="0.25">
      <c r="A6" s="669"/>
      <c r="B6" s="670"/>
      <c r="C6" s="692" t="s">
        <v>587</v>
      </c>
      <c r="D6" s="692" t="s">
        <v>588</v>
      </c>
      <c r="E6" s="689"/>
      <c r="F6" s="693"/>
      <c r="G6" s="693"/>
      <c r="H6" s="691" t="s">
        <v>589</v>
      </c>
    </row>
    <row r="7" spans="1:11" x14ac:dyDescent="0.25">
      <c r="A7" s="694">
        <v>1</v>
      </c>
      <c r="B7" s="673" t="s">
        <v>408</v>
      </c>
      <c r="C7" s="695"/>
      <c r="D7" s="696">
        <v>27884828.170000032</v>
      </c>
      <c r="E7" s="696">
        <v>77914.318630950045</v>
      </c>
      <c r="F7" s="697"/>
      <c r="G7" s="697"/>
      <c r="H7" s="698">
        <f t="shared" ref="H7:H20" si="0">C7+D7-E7-F7</f>
        <v>27806913.851369083</v>
      </c>
      <c r="I7" s="877"/>
      <c r="J7" s="881"/>
    </row>
    <row r="8" spans="1:11" ht="24" x14ac:dyDescent="0.25">
      <c r="A8" s="694">
        <v>2</v>
      </c>
      <c r="B8" s="673" t="s">
        <v>409</v>
      </c>
      <c r="C8" s="695"/>
      <c r="D8" s="695">
        <v>0</v>
      </c>
      <c r="E8" s="697"/>
      <c r="F8" s="697"/>
      <c r="G8" s="697"/>
      <c r="H8" s="698">
        <f t="shared" si="0"/>
        <v>0</v>
      </c>
      <c r="I8" s="877"/>
    </row>
    <row r="9" spans="1:11" x14ac:dyDescent="0.25">
      <c r="A9" s="694">
        <v>3</v>
      </c>
      <c r="B9" s="673" t="s">
        <v>410</v>
      </c>
      <c r="C9" s="695"/>
      <c r="D9" s="695">
        <v>0</v>
      </c>
      <c r="E9" s="697"/>
      <c r="F9" s="697"/>
      <c r="G9" s="697"/>
      <c r="H9" s="698">
        <f t="shared" si="0"/>
        <v>0</v>
      </c>
      <c r="I9" s="877"/>
    </row>
    <row r="10" spans="1:11" x14ac:dyDescent="0.25">
      <c r="A10" s="694">
        <v>4</v>
      </c>
      <c r="B10" s="673" t="s">
        <v>411</v>
      </c>
      <c r="C10" s="695"/>
      <c r="D10" s="695">
        <v>0</v>
      </c>
      <c r="E10" s="697"/>
      <c r="F10" s="697"/>
      <c r="G10" s="697"/>
      <c r="H10" s="698">
        <f t="shared" si="0"/>
        <v>0</v>
      </c>
      <c r="I10" s="877"/>
    </row>
    <row r="11" spans="1:11" x14ac:dyDescent="0.25">
      <c r="A11" s="694">
        <v>5</v>
      </c>
      <c r="B11" s="673" t="s">
        <v>412</v>
      </c>
      <c r="C11" s="695"/>
      <c r="D11" s="695">
        <v>0</v>
      </c>
      <c r="E11" s="697"/>
      <c r="F11" s="697"/>
      <c r="G11" s="697"/>
      <c r="H11" s="698">
        <f t="shared" si="0"/>
        <v>0</v>
      </c>
      <c r="I11" s="877"/>
    </row>
    <row r="12" spans="1:11" x14ac:dyDescent="0.25">
      <c r="A12" s="694">
        <v>6</v>
      </c>
      <c r="B12" s="673" t="s">
        <v>413</v>
      </c>
      <c r="C12" s="699"/>
      <c r="D12" s="699">
        <v>49909872.970488496</v>
      </c>
      <c r="E12" s="700"/>
      <c r="F12" s="697"/>
      <c r="G12" s="697"/>
      <c r="H12" s="698">
        <f t="shared" si="0"/>
        <v>49909872.970488496</v>
      </c>
      <c r="I12" s="877"/>
    </row>
    <row r="13" spans="1:11" x14ac:dyDescent="0.25">
      <c r="A13" s="694">
        <v>7</v>
      </c>
      <c r="B13" s="673" t="s">
        <v>414</v>
      </c>
      <c r="C13" s="699">
        <v>211012.07999999996</v>
      </c>
      <c r="D13" s="699">
        <v>53087938.542199448</v>
      </c>
      <c r="E13" s="701">
        <v>716366.42388578923</v>
      </c>
      <c r="F13" s="697"/>
      <c r="G13" s="697"/>
      <c r="H13" s="698">
        <f t="shared" si="0"/>
        <v>52582584.198313653</v>
      </c>
      <c r="I13" s="877"/>
      <c r="K13" s="877"/>
    </row>
    <row r="14" spans="1:11" x14ac:dyDescent="0.25">
      <c r="A14" s="694">
        <v>8</v>
      </c>
      <c r="B14" s="679" t="s">
        <v>415</v>
      </c>
      <c r="C14" s="699">
        <v>370117.91412966786</v>
      </c>
      <c r="D14" s="699">
        <v>17437023.029516075</v>
      </c>
      <c r="E14" s="701">
        <v>666810.35691684112</v>
      </c>
      <c r="F14" s="697"/>
      <c r="G14" s="888">
        <f>'19. Assets by Risk Sectors'!G34</f>
        <v>64086.999999999993</v>
      </c>
      <c r="H14" s="698">
        <f t="shared" si="0"/>
        <v>17140330.586728901</v>
      </c>
      <c r="I14" s="877"/>
    </row>
    <row r="15" spans="1:11" x14ac:dyDescent="0.25">
      <c r="A15" s="694">
        <v>9</v>
      </c>
      <c r="B15" s="673" t="s">
        <v>416</v>
      </c>
      <c r="C15" s="699"/>
      <c r="D15" s="699">
        <v>0</v>
      </c>
      <c r="E15" s="700"/>
      <c r="F15" s="697"/>
      <c r="G15" s="697"/>
      <c r="H15" s="698">
        <f t="shared" si="0"/>
        <v>0</v>
      </c>
      <c r="I15" s="882"/>
    </row>
    <row r="16" spans="1:11" x14ac:dyDescent="0.25">
      <c r="A16" s="694">
        <v>10</v>
      </c>
      <c r="B16" s="681" t="s">
        <v>417</v>
      </c>
      <c r="C16" s="699">
        <v>334227.60412966786</v>
      </c>
      <c r="D16" s="699">
        <v>0</v>
      </c>
      <c r="E16" s="699">
        <v>186932.34827707463</v>
      </c>
      <c r="F16" s="697"/>
      <c r="G16" s="697"/>
      <c r="H16" s="698">
        <f t="shared" si="0"/>
        <v>147295.25585259323</v>
      </c>
      <c r="I16" s="877"/>
    </row>
    <row r="17" spans="1:12" x14ac:dyDescent="0.25">
      <c r="A17" s="694">
        <v>11</v>
      </c>
      <c r="B17" s="673" t="s">
        <v>418</v>
      </c>
      <c r="C17" s="699">
        <v>0</v>
      </c>
      <c r="D17" s="699">
        <v>0</v>
      </c>
      <c r="E17" s="699">
        <v>0</v>
      </c>
      <c r="F17" s="697"/>
      <c r="G17" s="697"/>
      <c r="H17" s="698">
        <f t="shared" si="0"/>
        <v>0</v>
      </c>
      <c r="I17" s="877"/>
    </row>
    <row r="18" spans="1:12" x14ac:dyDescent="0.25">
      <c r="A18" s="694">
        <v>12</v>
      </c>
      <c r="B18" s="673" t="s">
        <v>419</v>
      </c>
      <c r="C18" s="699"/>
      <c r="D18" s="699">
        <v>0</v>
      </c>
      <c r="E18" s="700"/>
      <c r="F18" s="697"/>
      <c r="G18" s="697"/>
      <c r="H18" s="698">
        <f t="shared" si="0"/>
        <v>0</v>
      </c>
      <c r="I18" s="877"/>
    </row>
    <row r="19" spans="1:12" x14ac:dyDescent="0.25">
      <c r="A19" s="702">
        <v>13</v>
      </c>
      <c r="B19" s="679" t="s">
        <v>420</v>
      </c>
      <c r="C19" s="699"/>
      <c r="D19" s="699">
        <v>0</v>
      </c>
      <c r="E19" s="700"/>
      <c r="F19" s="697"/>
      <c r="G19" s="697"/>
      <c r="H19" s="698">
        <f t="shared" si="0"/>
        <v>0</v>
      </c>
      <c r="I19" s="877"/>
    </row>
    <row r="20" spans="1:12" x14ac:dyDescent="0.25">
      <c r="A20" s="694">
        <v>14</v>
      </c>
      <c r="B20" s="673" t="s">
        <v>421</v>
      </c>
      <c r="C20" s="699">
        <v>0</v>
      </c>
      <c r="D20" s="703">
        <v>31812460.265174728</v>
      </c>
      <c r="E20" s="701">
        <f>C20</f>
        <v>0</v>
      </c>
      <c r="F20" s="697"/>
      <c r="G20" s="697"/>
      <c r="H20" s="698">
        <f t="shared" si="0"/>
        <v>31812460.265174728</v>
      </c>
      <c r="I20" s="877"/>
    </row>
    <row r="21" spans="1:12" s="709" customFormat="1" x14ac:dyDescent="0.25">
      <c r="A21" s="704">
        <v>15</v>
      </c>
      <c r="B21" s="705" t="s">
        <v>96</v>
      </c>
      <c r="C21" s="706">
        <f t="shared" ref="C21:H21" si="1">SUM(C7:C15)+SUM(C17:C20)</f>
        <v>581129.99412966776</v>
      </c>
      <c r="D21" s="706">
        <f t="shared" si="1"/>
        <v>180132122.97737879</v>
      </c>
      <c r="E21" s="707">
        <f t="shared" si="1"/>
        <v>1461091.0994335804</v>
      </c>
      <c r="F21" s="705">
        <f t="shared" si="1"/>
        <v>0</v>
      </c>
      <c r="G21" s="708">
        <f t="shared" si="1"/>
        <v>64086.999999999993</v>
      </c>
      <c r="H21" s="698">
        <f t="shared" si="1"/>
        <v>179252161.87207484</v>
      </c>
      <c r="I21" s="877"/>
      <c r="J21" s="884"/>
      <c r="K21" s="884"/>
      <c r="L21" s="884"/>
    </row>
    <row r="22" spans="1:12" x14ac:dyDescent="0.25">
      <c r="A22" s="710">
        <v>16</v>
      </c>
      <c r="B22" s="711" t="s">
        <v>590</v>
      </c>
      <c r="C22" s="699">
        <f>C13+C14+C17</f>
        <v>581129.99412966776</v>
      </c>
      <c r="D22" s="699">
        <f>D13+D14+D17</f>
        <v>70524961.571715519</v>
      </c>
      <c r="E22" s="699">
        <f>E13+E14+E17</f>
        <v>1383176.7808026304</v>
      </c>
      <c r="F22" s="699">
        <f>F13+F14+F17</f>
        <v>0</v>
      </c>
      <c r="G22" s="712">
        <f>G13+G14+G17</f>
        <v>64086.999999999993</v>
      </c>
      <c r="H22" s="698">
        <f>C22+D22-E22-F22</f>
        <v>69722914.785042554</v>
      </c>
      <c r="I22" s="877"/>
    </row>
    <row r="23" spans="1:12" x14ac:dyDescent="0.25">
      <c r="A23" s="710">
        <v>17</v>
      </c>
      <c r="B23" s="713" t="s">
        <v>591</v>
      </c>
      <c r="C23" s="699"/>
      <c r="D23" s="703">
        <v>26654604.607195999</v>
      </c>
      <c r="E23" s="703">
        <v>77914.318630950045</v>
      </c>
      <c r="F23" s="697"/>
      <c r="G23" s="697"/>
      <c r="H23" s="698">
        <f>C23+D23-E23-F23</f>
        <v>26576690.288565051</v>
      </c>
      <c r="I23" s="877"/>
    </row>
    <row r="24" spans="1:12" x14ac:dyDescent="0.25">
      <c r="C24" s="876"/>
      <c r="D24" s="878"/>
      <c r="E24" s="876"/>
      <c r="F24" s="876"/>
      <c r="G24" s="876"/>
      <c r="H24" s="883"/>
    </row>
    <row r="25" spans="1:12" x14ac:dyDescent="0.25">
      <c r="C25" s="880"/>
      <c r="D25" s="880"/>
      <c r="E25" s="880"/>
      <c r="F25" s="883"/>
      <c r="G25" s="883"/>
      <c r="H25" s="876"/>
    </row>
    <row r="26" spans="1:12" ht="42.6" customHeight="1" x14ac:dyDescent="0.25">
      <c r="B26" s="685" t="s">
        <v>573</v>
      </c>
      <c r="C26" s="880"/>
      <c r="D26" s="878"/>
      <c r="E26" s="880"/>
      <c r="F26" s="876"/>
      <c r="G26" s="876"/>
      <c r="H26" s="876"/>
    </row>
    <row r="27" spans="1:12" x14ac:dyDescent="0.25">
      <c r="C27" s="876"/>
      <c r="D27" s="876"/>
      <c r="E27" s="876"/>
      <c r="F27" s="876"/>
      <c r="G27" s="876"/>
      <c r="H27" s="876"/>
    </row>
    <row r="28" spans="1:12" x14ac:dyDescent="0.25">
      <c r="C28" s="885"/>
      <c r="D28" s="876"/>
      <c r="E28" s="876"/>
      <c r="F28" s="876"/>
      <c r="G28" s="876"/>
      <c r="H28" s="876"/>
    </row>
    <row r="29" spans="1:12" x14ac:dyDescent="0.25">
      <c r="C29" s="886"/>
      <c r="D29" s="876"/>
      <c r="E29" s="876"/>
      <c r="F29" s="876"/>
      <c r="G29" s="876"/>
      <c r="H29" s="876"/>
    </row>
    <row r="30" spans="1:12" x14ac:dyDescent="0.25">
      <c r="C30" s="887"/>
      <c r="D30" s="876"/>
      <c r="E30" s="876"/>
      <c r="F30" s="876"/>
      <c r="G30" s="876"/>
      <c r="H30" s="876"/>
    </row>
    <row r="31" spans="1:12" x14ac:dyDescent="0.25">
      <c r="C31" s="887"/>
      <c r="D31" s="876"/>
      <c r="E31" s="876"/>
      <c r="F31" s="878"/>
      <c r="G31" s="876"/>
      <c r="H31" s="876"/>
    </row>
    <row r="32" spans="1:12" x14ac:dyDescent="0.25">
      <c r="C32" s="887"/>
      <c r="D32" s="876"/>
      <c r="E32" s="876"/>
      <c r="F32" s="876"/>
      <c r="G32" s="876"/>
      <c r="H32" s="876"/>
    </row>
    <row r="33" spans="3:8" x14ac:dyDescent="0.25">
      <c r="C33" s="887"/>
      <c r="D33" s="876"/>
      <c r="E33" s="876"/>
      <c r="F33" s="876"/>
      <c r="G33" s="876"/>
      <c r="H33" s="876"/>
    </row>
    <row r="34" spans="3:8" x14ac:dyDescent="0.25">
      <c r="C34" s="886"/>
      <c r="D34" s="876"/>
      <c r="E34" s="876"/>
      <c r="F34" s="876"/>
      <c r="G34" s="876"/>
      <c r="H34" s="876"/>
    </row>
    <row r="35" spans="3:8" x14ac:dyDescent="0.25">
      <c r="C35" s="887"/>
      <c r="D35" s="876"/>
      <c r="E35" s="876"/>
      <c r="F35" s="876"/>
      <c r="G35" s="876"/>
      <c r="H35" s="876"/>
    </row>
    <row r="36" spans="3:8" x14ac:dyDescent="0.25">
      <c r="C36" s="715"/>
      <c r="D36" s="876"/>
      <c r="E36" s="876"/>
    </row>
  </sheetData>
  <mergeCells count="5">
    <mergeCell ref="A5:B6"/>
    <mergeCell ref="C5:D5"/>
    <mergeCell ref="E5:E6"/>
    <mergeCell ref="F5:F6"/>
    <mergeCell ref="G5:G6"/>
  </mergeCells>
  <conditionalFormatting sqref="A5">
    <cfRule type="duplicateValues" dxfId="15" priority="1"/>
    <cfRule type="duplicateValues" dxfId="14" priority="2"/>
    <cfRule type="duplicateValues" dxfId="13"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A3FA-02A2-41AE-ACEB-B7B9ED505FCE}">
  <dimension ref="A1:N46"/>
  <sheetViews>
    <sheetView showGridLines="0" zoomScaleNormal="100" workbookViewId="0">
      <selection activeCell="C7" sqref="C7:H34"/>
    </sheetView>
  </sheetViews>
  <sheetFormatPr defaultColWidth="9.140625" defaultRowHeight="12.75" x14ac:dyDescent="0.25"/>
  <cols>
    <col min="1" max="1" width="11" style="656" bestFit="1" customWidth="1"/>
    <col min="2" max="2" width="93.42578125" style="656" customWidth="1"/>
    <col min="3" max="5" width="22" style="656" customWidth="1"/>
    <col min="6" max="6" width="21.28515625" style="656" customWidth="1"/>
    <col min="7" max="7" width="26.85546875" style="656" customWidth="1"/>
    <col min="8" max="8" width="21.85546875" style="656" customWidth="1"/>
    <col min="9" max="10" width="9.140625" style="656"/>
    <col min="11" max="11" width="36.5703125" style="656" customWidth="1"/>
    <col min="12" max="16384" width="9.140625" style="656"/>
  </cols>
  <sheetData>
    <row r="1" spans="1:14" ht="13.5" x14ac:dyDescent="0.25">
      <c r="A1" s="655" t="s">
        <v>41</v>
      </c>
      <c r="B1" s="24" t="str">
        <f>Info!C2</f>
        <v>სს სილქ ბანკი</v>
      </c>
      <c r="C1" s="686"/>
      <c r="D1" s="686"/>
      <c r="E1" s="686"/>
      <c r="F1" s="686"/>
      <c r="G1" s="686"/>
      <c r="H1" s="686"/>
    </row>
    <row r="2" spans="1:14" x14ac:dyDescent="0.25">
      <c r="A2" s="655" t="s">
        <v>42</v>
      </c>
      <c r="B2" s="657">
        <f>'1. key ratios'!B2</f>
        <v>45382</v>
      </c>
      <c r="C2" s="686"/>
      <c r="D2" s="686"/>
      <c r="E2" s="686"/>
      <c r="F2" s="686"/>
      <c r="G2" s="686"/>
      <c r="H2" s="686"/>
    </row>
    <row r="3" spans="1:14" x14ac:dyDescent="0.25">
      <c r="A3" s="658" t="s">
        <v>592</v>
      </c>
      <c r="B3" s="686"/>
      <c r="C3" s="686"/>
      <c r="D3" s="686"/>
      <c r="E3" s="686"/>
      <c r="F3" s="686"/>
      <c r="G3" s="686"/>
      <c r="H3" s="686"/>
    </row>
    <row r="4" spans="1:14" ht="40.5" customHeight="1" x14ac:dyDescent="0.25">
      <c r="A4" s="686"/>
      <c r="B4" s="686"/>
      <c r="C4" s="688" t="s">
        <v>575</v>
      </c>
      <c r="D4" s="688" t="s">
        <v>576</v>
      </c>
      <c r="E4" s="688" t="s">
        <v>577</v>
      </c>
      <c r="F4" s="688" t="s">
        <v>578</v>
      </c>
      <c r="G4" s="688" t="s">
        <v>579</v>
      </c>
      <c r="H4" s="688" t="s">
        <v>580</v>
      </c>
    </row>
    <row r="5" spans="1:14" ht="41.45" customHeight="1" x14ac:dyDescent="0.25">
      <c r="A5" s="659" t="s">
        <v>593</v>
      </c>
      <c r="B5" s="660"/>
      <c r="C5" s="716" t="s">
        <v>582</v>
      </c>
      <c r="D5" s="717"/>
      <c r="E5" s="690" t="s">
        <v>594</v>
      </c>
      <c r="F5" s="690" t="s">
        <v>584</v>
      </c>
      <c r="G5" s="690" t="s">
        <v>585</v>
      </c>
      <c r="H5" s="691" t="s">
        <v>586</v>
      </c>
    </row>
    <row r="6" spans="1:14" ht="38.25" x14ac:dyDescent="0.25">
      <c r="A6" s="669"/>
      <c r="B6" s="670"/>
      <c r="C6" s="692" t="s">
        <v>587</v>
      </c>
      <c r="D6" s="692" t="s">
        <v>588</v>
      </c>
      <c r="E6" s="693"/>
      <c r="F6" s="693"/>
      <c r="G6" s="693"/>
      <c r="H6" s="691" t="s">
        <v>589</v>
      </c>
      <c r="I6" s="718"/>
    </row>
    <row r="7" spans="1:14" x14ac:dyDescent="0.25">
      <c r="A7" s="697">
        <v>1</v>
      </c>
      <c r="B7" s="719" t="s">
        <v>595</v>
      </c>
      <c r="C7" s="695">
        <v>13103.528394160583</v>
      </c>
      <c r="D7" s="695">
        <v>29542468.527854212</v>
      </c>
      <c r="E7" s="695">
        <v>129301.21197387108</v>
      </c>
      <c r="F7" s="695"/>
      <c r="G7" s="696">
        <v>0</v>
      </c>
      <c r="H7" s="698">
        <f t="shared" ref="H7:H34" si="0">C7+D7-E7-F7</f>
        <v>29426270.844274499</v>
      </c>
      <c r="I7" s="677"/>
      <c r="N7" s="677"/>
    </row>
    <row r="8" spans="1:14" x14ac:dyDescent="0.25">
      <c r="A8" s="697">
        <v>2</v>
      </c>
      <c r="B8" s="719" t="s">
        <v>596</v>
      </c>
      <c r="C8" s="695">
        <v>0</v>
      </c>
      <c r="D8" s="695">
        <v>53776940.601152614</v>
      </c>
      <c r="E8" s="695">
        <v>31399.760261625786</v>
      </c>
      <c r="F8" s="695"/>
      <c r="G8" s="696">
        <v>0</v>
      </c>
      <c r="H8" s="698">
        <f t="shared" si="0"/>
        <v>53745540.840890989</v>
      </c>
      <c r="I8" s="677"/>
      <c r="N8" s="677"/>
    </row>
    <row r="9" spans="1:14" x14ac:dyDescent="0.25">
      <c r="A9" s="697">
        <v>3</v>
      </c>
      <c r="B9" s="719" t="s">
        <v>597</v>
      </c>
      <c r="C9" s="695">
        <v>0</v>
      </c>
      <c r="D9" s="695">
        <v>0</v>
      </c>
      <c r="E9" s="695">
        <v>0</v>
      </c>
      <c r="F9" s="695"/>
      <c r="G9" s="696">
        <v>0</v>
      </c>
      <c r="H9" s="698">
        <f t="shared" si="0"/>
        <v>0</v>
      </c>
      <c r="I9" s="677"/>
      <c r="N9" s="677"/>
    </row>
    <row r="10" spans="1:14" x14ac:dyDescent="0.25">
      <c r="A10" s="697">
        <v>4</v>
      </c>
      <c r="B10" s="719" t="s">
        <v>598</v>
      </c>
      <c r="C10" s="695">
        <v>0</v>
      </c>
      <c r="D10" s="695">
        <v>9021653.9595743679</v>
      </c>
      <c r="E10" s="695">
        <v>122296.31964623451</v>
      </c>
      <c r="F10" s="695"/>
      <c r="G10" s="696">
        <v>0</v>
      </c>
      <c r="H10" s="698">
        <f t="shared" si="0"/>
        <v>8899357.6399281342</v>
      </c>
      <c r="I10" s="677"/>
      <c r="N10" s="677"/>
    </row>
    <row r="11" spans="1:14" x14ac:dyDescent="0.25">
      <c r="A11" s="697">
        <v>5</v>
      </c>
      <c r="B11" s="719" t="s">
        <v>600</v>
      </c>
      <c r="C11" s="695">
        <v>0</v>
      </c>
      <c r="D11" s="695">
        <v>9528189.6504339371</v>
      </c>
      <c r="E11" s="695">
        <v>147348.45214249715</v>
      </c>
      <c r="F11" s="695"/>
      <c r="G11" s="696">
        <v>0</v>
      </c>
      <c r="H11" s="698">
        <f t="shared" si="0"/>
        <v>9380841.1982914396</v>
      </c>
      <c r="I11" s="677"/>
      <c r="N11" s="677"/>
    </row>
    <row r="12" spans="1:14" x14ac:dyDescent="0.25">
      <c r="A12" s="697">
        <v>6</v>
      </c>
      <c r="B12" s="719" t="s">
        <v>601</v>
      </c>
      <c r="C12" s="695">
        <v>44362.75</v>
      </c>
      <c r="D12" s="695">
        <v>3036087.4156365567</v>
      </c>
      <c r="E12" s="695">
        <v>105332.38669513316</v>
      </c>
      <c r="F12" s="695"/>
      <c r="G12" s="696">
        <v>0</v>
      </c>
      <c r="H12" s="698">
        <f t="shared" si="0"/>
        <v>2975117.7789414236</v>
      </c>
      <c r="I12" s="677"/>
      <c r="N12" s="677"/>
    </row>
    <row r="13" spans="1:14" x14ac:dyDescent="0.25">
      <c r="A13" s="697">
        <v>7</v>
      </c>
      <c r="B13" s="719" t="s">
        <v>603</v>
      </c>
      <c r="C13" s="695">
        <v>0</v>
      </c>
      <c r="D13" s="695">
        <v>2012170.4356629145</v>
      </c>
      <c r="E13" s="695">
        <v>22657.467806593475</v>
      </c>
      <c r="F13" s="695"/>
      <c r="G13" s="696">
        <v>345.13750000000005</v>
      </c>
      <c r="H13" s="698">
        <f t="shared" si="0"/>
        <v>1989512.967856321</v>
      </c>
      <c r="I13" s="677"/>
      <c r="N13" s="677"/>
    </row>
    <row r="14" spans="1:14" x14ac:dyDescent="0.25">
      <c r="A14" s="697">
        <v>8</v>
      </c>
      <c r="B14" s="719" t="s">
        <v>604</v>
      </c>
      <c r="C14" s="695">
        <v>66673.87</v>
      </c>
      <c r="D14" s="695">
        <v>489674.87776955473</v>
      </c>
      <c r="E14" s="695">
        <v>54544.5058935954</v>
      </c>
      <c r="F14" s="695"/>
      <c r="G14" s="696">
        <v>420.61250000000001</v>
      </c>
      <c r="H14" s="698">
        <f t="shared" si="0"/>
        <v>501804.24187595933</v>
      </c>
      <c r="I14" s="677"/>
      <c r="N14" s="677"/>
    </row>
    <row r="15" spans="1:14" x14ac:dyDescent="0.25">
      <c r="A15" s="697">
        <v>9</v>
      </c>
      <c r="B15" s="719" t="s">
        <v>605</v>
      </c>
      <c r="C15" s="695">
        <v>0</v>
      </c>
      <c r="D15" s="695">
        <v>13254.369999999999</v>
      </c>
      <c r="E15" s="695">
        <v>502.3305134178047</v>
      </c>
      <c r="F15" s="695"/>
      <c r="G15" s="696">
        <v>12272.387500000001</v>
      </c>
      <c r="H15" s="698">
        <f t="shared" si="0"/>
        <v>12752.039486582195</v>
      </c>
      <c r="I15" s="677"/>
      <c r="N15" s="677"/>
    </row>
    <row r="16" spans="1:14" x14ac:dyDescent="0.25">
      <c r="A16" s="697">
        <v>10</v>
      </c>
      <c r="B16" s="719" t="s">
        <v>606</v>
      </c>
      <c r="C16" s="695">
        <v>0</v>
      </c>
      <c r="D16" s="695">
        <v>53455.745094730228</v>
      </c>
      <c r="E16" s="695">
        <v>1887.2618842775994</v>
      </c>
      <c r="F16" s="695"/>
      <c r="G16" s="696">
        <v>0</v>
      </c>
      <c r="H16" s="698">
        <f t="shared" si="0"/>
        <v>51568.483210452629</v>
      </c>
      <c r="I16" s="677"/>
      <c r="N16" s="677"/>
    </row>
    <row r="17" spans="1:14" x14ac:dyDescent="0.25">
      <c r="A17" s="697">
        <v>11</v>
      </c>
      <c r="B17" s="719" t="s">
        <v>607</v>
      </c>
      <c r="C17" s="695">
        <v>0</v>
      </c>
      <c r="D17" s="695">
        <v>14310.535547445255</v>
      </c>
      <c r="E17" s="695">
        <v>403.26966353917106</v>
      </c>
      <c r="F17" s="695"/>
      <c r="G17" s="696">
        <v>0</v>
      </c>
      <c r="H17" s="698">
        <f t="shared" si="0"/>
        <v>13907.265883906084</v>
      </c>
      <c r="I17" s="677"/>
      <c r="N17" s="677"/>
    </row>
    <row r="18" spans="1:14" x14ac:dyDescent="0.25">
      <c r="A18" s="697">
        <v>12</v>
      </c>
      <c r="B18" s="719" t="s">
        <v>608</v>
      </c>
      <c r="C18" s="695">
        <v>24717.806715328465</v>
      </c>
      <c r="D18" s="695">
        <v>5916930.1737949038</v>
      </c>
      <c r="E18" s="695">
        <v>98455.686072107332</v>
      </c>
      <c r="F18" s="695"/>
      <c r="G18" s="696">
        <v>0</v>
      </c>
      <c r="H18" s="698">
        <f t="shared" si="0"/>
        <v>5843192.2944381246</v>
      </c>
      <c r="I18" s="677"/>
      <c r="N18" s="677"/>
    </row>
    <row r="19" spans="1:14" x14ac:dyDescent="0.25">
      <c r="A19" s="697">
        <v>13</v>
      </c>
      <c r="B19" s="719" t="s">
        <v>609</v>
      </c>
      <c r="C19" s="695">
        <v>0</v>
      </c>
      <c r="D19" s="695">
        <v>170702.44469528057</v>
      </c>
      <c r="E19" s="695">
        <v>9013.9192660114313</v>
      </c>
      <c r="F19" s="695"/>
      <c r="G19" s="696">
        <v>222.21250000000001</v>
      </c>
      <c r="H19" s="698">
        <f t="shared" si="0"/>
        <v>161688.52542926915</v>
      </c>
      <c r="I19" s="677"/>
      <c r="N19" s="677"/>
    </row>
    <row r="20" spans="1:14" x14ac:dyDescent="0.25">
      <c r="A20" s="697">
        <v>14</v>
      </c>
      <c r="B20" s="719" t="s">
        <v>610</v>
      </c>
      <c r="C20" s="695">
        <v>41083.56</v>
      </c>
      <c r="D20" s="695">
        <v>1513625.2276084304</v>
      </c>
      <c r="E20" s="695">
        <v>44576.011611980437</v>
      </c>
      <c r="F20" s="695"/>
      <c r="G20" s="696">
        <v>0</v>
      </c>
      <c r="H20" s="698">
        <f t="shared" si="0"/>
        <v>1510132.7759964501</v>
      </c>
      <c r="I20" s="677"/>
      <c r="N20" s="677"/>
    </row>
    <row r="21" spans="1:14" x14ac:dyDescent="0.25">
      <c r="A21" s="697">
        <v>15</v>
      </c>
      <c r="B21" s="719" t="s">
        <v>611</v>
      </c>
      <c r="C21" s="695">
        <v>435.65</v>
      </c>
      <c r="D21" s="695">
        <v>1938287.8840332776</v>
      </c>
      <c r="E21" s="695">
        <v>25501.789008852655</v>
      </c>
      <c r="F21" s="695"/>
      <c r="G21" s="696">
        <v>0</v>
      </c>
      <c r="H21" s="698">
        <f t="shared" si="0"/>
        <v>1913221.745024425</v>
      </c>
      <c r="I21" s="677"/>
      <c r="N21" s="677"/>
    </row>
    <row r="22" spans="1:14" x14ac:dyDescent="0.25">
      <c r="A22" s="697">
        <v>16</v>
      </c>
      <c r="B22" s="711" t="s">
        <v>612</v>
      </c>
      <c r="C22" s="695">
        <v>0</v>
      </c>
      <c r="D22" s="695">
        <v>64210.002782289353</v>
      </c>
      <c r="E22" s="695">
        <v>1592.9399048200842</v>
      </c>
      <c r="F22" s="695"/>
      <c r="G22" s="696">
        <v>0</v>
      </c>
      <c r="H22" s="698">
        <f t="shared" si="0"/>
        <v>62617.062877469267</v>
      </c>
      <c r="I22" s="677"/>
      <c r="N22" s="677"/>
    </row>
    <row r="23" spans="1:14" x14ac:dyDescent="0.25">
      <c r="A23" s="697">
        <v>17</v>
      </c>
      <c r="B23" s="719" t="s">
        <v>613</v>
      </c>
      <c r="C23" s="695">
        <v>5561.2800000000007</v>
      </c>
      <c r="D23" s="695">
        <v>81752.378819374848</v>
      </c>
      <c r="E23" s="695">
        <v>4839.2470296701276</v>
      </c>
      <c r="F23" s="695"/>
      <c r="G23" s="696">
        <v>0</v>
      </c>
      <c r="H23" s="698">
        <f t="shared" si="0"/>
        <v>82474.411789704725</v>
      </c>
      <c r="I23" s="677"/>
      <c r="N23" s="677"/>
    </row>
    <row r="24" spans="1:14" x14ac:dyDescent="0.25">
      <c r="A24" s="697">
        <v>18</v>
      </c>
      <c r="B24" s="719" t="s">
        <v>614</v>
      </c>
      <c r="C24" s="695">
        <v>0</v>
      </c>
      <c r="D24" s="695">
        <v>12216231.531764409</v>
      </c>
      <c r="E24" s="695">
        <v>7704.1708874965525</v>
      </c>
      <c r="F24" s="695"/>
      <c r="G24" s="696">
        <v>0</v>
      </c>
      <c r="H24" s="698">
        <f t="shared" si="0"/>
        <v>12208527.360876912</v>
      </c>
      <c r="I24" s="677"/>
      <c r="N24" s="677"/>
    </row>
    <row r="25" spans="1:14" x14ac:dyDescent="0.25">
      <c r="A25" s="697">
        <v>19</v>
      </c>
      <c r="B25" s="719" t="s">
        <v>615</v>
      </c>
      <c r="C25" s="695">
        <v>114.84</v>
      </c>
      <c r="D25" s="695">
        <v>315111.09486978932</v>
      </c>
      <c r="E25" s="695">
        <v>12418.015161124187</v>
      </c>
      <c r="F25" s="695"/>
      <c r="G25" s="696">
        <v>0</v>
      </c>
      <c r="H25" s="698">
        <f t="shared" si="0"/>
        <v>302807.91970866517</v>
      </c>
      <c r="I25" s="677"/>
      <c r="N25" s="677"/>
    </row>
    <row r="26" spans="1:14" x14ac:dyDescent="0.25">
      <c r="A26" s="697">
        <v>20</v>
      </c>
      <c r="B26" s="719" t="s">
        <v>616</v>
      </c>
      <c r="C26" s="695">
        <v>0</v>
      </c>
      <c r="D26" s="695">
        <v>106674.2627291549</v>
      </c>
      <c r="E26" s="695">
        <v>3393.6632334106775</v>
      </c>
      <c r="F26" s="695"/>
      <c r="G26" s="696">
        <v>403.02500000000003</v>
      </c>
      <c r="H26" s="698">
        <f t="shared" si="0"/>
        <v>103280.59949574422</v>
      </c>
      <c r="I26" s="677"/>
      <c r="N26" s="677"/>
    </row>
    <row r="27" spans="1:14" x14ac:dyDescent="0.25">
      <c r="A27" s="697">
        <v>21</v>
      </c>
      <c r="B27" s="719" t="s">
        <v>617</v>
      </c>
      <c r="C27" s="695">
        <v>0</v>
      </c>
      <c r="D27" s="695">
        <v>267471.27748665394</v>
      </c>
      <c r="E27" s="695">
        <v>7931.3622732580698</v>
      </c>
      <c r="F27" s="695"/>
      <c r="G27" s="696">
        <v>0</v>
      </c>
      <c r="H27" s="698">
        <f t="shared" si="0"/>
        <v>259539.91521339587</v>
      </c>
      <c r="I27" s="677"/>
      <c r="N27" s="677"/>
    </row>
    <row r="28" spans="1:14" x14ac:dyDescent="0.25">
      <c r="A28" s="697">
        <v>22</v>
      </c>
      <c r="B28" s="719" t="s">
        <v>618</v>
      </c>
      <c r="C28" s="695">
        <v>36288.68</v>
      </c>
      <c r="D28" s="695">
        <v>2156501.4119023751</v>
      </c>
      <c r="E28" s="695">
        <v>58604.775746846972</v>
      </c>
      <c r="F28" s="695"/>
      <c r="G28" s="696">
        <v>0</v>
      </c>
      <c r="H28" s="698">
        <f t="shared" si="0"/>
        <v>2134185.3161555282</v>
      </c>
      <c r="I28" s="677"/>
      <c r="N28" s="677"/>
    </row>
    <row r="29" spans="1:14" x14ac:dyDescent="0.25">
      <c r="A29" s="697">
        <v>23</v>
      </c>
      <c r="B29" s="719" t="s">
        <v>619</v>
      </c>
      <c r="C29" s="695">
        <v>127058.98902017884</v>
      </c>
      <c r="D29" s="695">
        <v>8117542.7631374961</v>
      </c>
      <c r="E29" s="695">
        <v>318948.26684876496</v>
      </c>
      <c r="F29" s="695"/>
      <c r="G29" s="696">
        <v>50423.624999999993</v>
      </c>
      <c r="H29" s="698">
        <f t="shared" si="0"/>
        <v>7925653.4853089098</v>
      </c>
      <c r="I29" s="677"/>
      <c r="N29" s="677"/>
    </row>
    <row r="30" spans="1:14" x14ac:dyDescent="0.25">
      <c r="A30" s="697">
        <v>24</v>
      </c>
      <c r="B30" s="719" t="s">
        <v>620</v>
      </c>
      <c r="C30" s="695">
        <v>144338.21</v>
      </c>
      <c r="D30" s="695">
        <v>2545976.1242646514</v>
      </c>
      <c r="E30" s="695">
        <v>112919.39139655554</v>
      </c>
      <c r="F30" s="695"/>
      <c r="G30" s="696">
        <v>0</v>
      </c>
      <c r="H30" s="698">
        <f t="shared" si="0"/>
        <v>2577394.9428680958</v>
      </c>
      <c r="I30" s="677"/>
      <c r="N30" s="677"/>
    </row>
    <row r="31" spans="1:14" x14ac:dyDescent="0.25">
      <c r="A31" s="697">
        <v>25</v>
      </c>
      <c r="B31" s="719" t="s">
        <v>216</v>
      </c>
      <c r="C31" s="695">
        <v>77390.830000000016</v>
      </c>
      <c r="D31" s="696">
        <v>5420440.015589606</v>
      </c>
      <c r="E31" s="695">
        <v>139518.89451189429</v>
      </c>
      <c r="F31" s="695"/>
      <c r="G31" s="696">
        <v>0</v>
      </c>
      <c r="H31" s="698">
        <f t="shared" si="0"/>
        <v>5358311.9510777118</v>
      </c>
      <c r="I31" s="677"/>
      <c r="N31" s="677"/>
    </row>
    <row r="32" spans="1:14" x14ac:dyDescent="0.25">
      <c r="A32" s="697">
        <v>26</v>
      </c>
      <c r="B32" s="719" t="s">
        <v>621</v>
      </c>
      <c r="C32" s="695">
        <v>0</v>
      </c>
      <c r="D32" s="695">
        <v>0</v>
      </c>
      <c r="E32" s="695">
        <v>0</v>
      </c>
      <c r="F32" s="695"/>
      <c r="G32" s="696">
        <v>0</v>
      </c>
      <c r="H32" s="698">
        <f t="shared" si="0"/>
        <v>0</v>
      </c>
      <c r="I32" s="677"/>
      <c r="N32" s="677"/>
    </row>
    <row r="33" spans="1:14" x14ac:dyDescent="0.25">
      <c r="A33" s="697">
        <v>27</v>
      </c>
      <c r="B33" s="697" t="s">
        <v>122</v>
      </c>
      <c r="C33" s="695">
        <f>'18. Assets by Exposure classes'!C20</f>
        <v>0</v>
      </c>
      <c r="D33" s="695">
        <f>'18. Assets by Exposure classes'!D20</f>
        <v>31812460.265174728</v>
      </c>
      <c r="E33" s="695">
        <f>'18. Assets by Exposure classes'!E20</f>
        <v>0</v>
      </c>
      <c r="F33" s="697"/>
      <c r="G33" s="696">
        <v>0</v>
      </c>
      <c r="H33" s="698">
        <f t="shared" si="0"/>
        <v>31812460.265174728</v>
      </c>
      <c r="I33" s="677"/>
      <c r="N33" s="677"/>
    </row>
    <row r="34" spans="1:14" x14ac:dyDescent="0.25">
      <c r="A34" s="697">
        <v>28</v>
      </c>
      <c r="B34" s="705" t="s">
        <v>96</v>
      </c>
      <c r="C34" s="720">
        <f>SUM(C7:C33)</f>
        <v>581129.99412966776</v>
      </c>
      <c r="D34" s="720">
        <f>SUM(D7:D33)</f>
        <v>180132122.97737876</v>
      </c>
      <c r="E34" s="720">
        <f>SUM(E7:E33)</f>
        <v>1461091.0994335786</v>
      </c>
      <c r="F34" s="720">
        <f t="shared" ref="F34:G34" si="1">SUM(F7:F33)</f>
        <v>0</v>
      </c>
      <c r="G34" s="720">
        <f t="shared" si="1"/>
        <v>64086.999999999993</v>
      </c>
      <c r="H34" s="698">
        <f t="shared" si="0"/>
        <v>179252161.87207484</v>
      </c>
      <c r="I34" s="677"/>
      <c r="N34" s="677"/>
    </row>
    <row r="35" spans="1:14" x14ac:dyDescent="0.25">
      <c r="A35" s="876"/>
      <c r="B35" s="876"/>
      <c r="C35" s="880"/>
      <c r="D35" s="880"/>
      <c r="E35" s="880"/>
      <c r="F35" s="880"/>
      <c r="G35" s="880"/>
      <c r="H35" s="880"/>
    </row>
    <row r="36" spans="1:14" x14ac:dyDescent="0.25">
      <c r="A36" s="876"/>
      <c r="B36" s="889"/>
      <c r="C36" s="880"/>
      <c r="D36" s="880"/>
      <c r="E36" s="880"/>
      <c r="F36" s="882"/>
      <c r="G36" s="882"/>
      <c r="H36" s="877"/>
    </row>
    <row r="37" spans="1:14" x14ac:dyDescent="0.25">
      <c r="A37" s="876"/>
      <c r="B37" s="876"/>
      <c r="C37" s="876"/>
      <c r="D37" s="876"/>
      <c r="E37" s="876"/>
      <c r="F37" s="890"/>
      <c r="G37" s="876"/>
      <c r="H37" s="876"/>
    </row>
    <row r="38" spans="1:14" x14ac:dyDescent="0.25">
      <c r="A38" s="876"/>
      <c r="B38" s="876"/>
      <c r="C38" s="877"/>
      <c r="D38" s="876"/>
      <c r="E38" s="877"/>
      <c r="F38" s="890"/>
      <c r="G38" s="876"/>
      <c r="H38" s="876"/>
    </row>
    <row r="39" spans="1:14" x14ac:dyDescent="0.25">
      <c r="A39" s="876"/>
      <c r="B39" s="876"/>
      <c r="C39" s="876"/>
      <c r="D39" s="877"/>
      <c r="E39" s="876"/>
      <c r="F39" s="876"/>
      <c r="G39" s="876"/>
      <c r="H39" s="876"/>
    </row>
    <row r="40" spans="1:14" x14ac:dyDescent="0.25">
      <c r="A40" s="876"/>
      <c r="B40" s="876"/>
      <c r="C40" s="876"/>
      <c r="D40" s="876"/>
      <c r="E40" s="890"/>
      <c r="F40" s="876"/>
      <c r="G40" s="876"/>
      <c r="H40" s="876"/>
    </row>
    <row r="41" spans="1:14" x14ac:dyDescent="0.25">
      <c r="A41" s="876"/>
      <c r="B41" s="876"/>
      <c r="C41" s="876"/>
      <c r="D41" s="876"/>
      <c r="E41" s="876"/>
      <c r="F41" s="876"/>
      <c r="G41" s="876"/>
      <c r="H41" s="876"/>
    </row>
    <row r="42" spans="1:14" x14ac:dyDescent="0.25">
      <c r="A42" s="876"/>
      <c r="B42" s="876"/>
      <c r="C42" s="876"/>
      <c r="D42" s="876"/>
      <c r="E42" s="876"/>
      <c r="F42" s="876"/>
      <c r="G42" s="876"/>
      <c r="H42" s="876"/>
    </row>
    <row r="43" spans="1:14" x14ac:dyDescent="0.25">
      <c r="A43" s="876"/>
      <c r="B43" s="876"/>
      <c r="C43" s="876"/>
      <c r="D43" s="876"/>
      <c r="E43" s="876"/>
      <c r="F43" s="876"/>
      <c r="G43" s="876"/>
      <c r="H43" s="876"/>
    </row>
    <row r="44" spans="1:14" x14ac:dyDescent="0.25">
      <c r="A44" s="876"/>
      <c r="B44" s="876"/>
      <c r="C44" s="876"/>
      <c r="D44" s="876"/>
      <c r="E44" s="876"/>
      <c r="F44" s="876"/>
      <c r="G44" s="876"/>
      <c r="H44" s="876"/>
    </row>
    <row r="45" spans="1:14" x14ac:dyDescent="0.25">
      <c r="A45" s="876"/>
      <c r="B45" s="876"/>
      <c r="C45" s="876"/>
      <c r="D45" s="876"/>
      <c r="E45" s="876"/>
      <c r="F45" s="876"/>
      <c r="G45" s="876"/>
      <c r="H45" s="876"/>
    </row>
    <row r="46" spans="1:14" x14ac:dyDescent="0.25">
      <c r="A46" s="876"/>
      <c r="B46" s="876"/>
      <c r="C46" s="876"/>
      <c r="D46" s="876"/>
      <c r="E46" s="876"/>
      <c r="F46" s="876"/>
      <c r="G46" s="876"/>
      <c r="H46" s="876"/>
    </row>
  </sheetData>
  <mergeCells count="5">
    <mergeCell ref="A5:B6"/>
    <mergeCell ref="C5:D5"/>
    <mergeCell ref="E5:E6"/>
    <mergeCell ref="F5:F6"/>
    <mergeCell ref="G5:G6"/>
  </mergeCells>
  <conditionalFormatting sqref="A5">
    <cfRule type="duplicateValues" dxfId="12" priority="2"/>
    <cfRule type="duplicateValues" dxfId="11" priority="3"/>
    <cfRule type="duplicateValues" dxfId="10" priority="4"/>
  </conditionalFormatting>
  <conditionalFormatting sqref="B7:B31">
    <cfRule type="duplicateValues" dxfId="9" priority="5"/>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EACFD-3D39-470D-89AE-9F7D2B641FB7}">
  <dimension ref="A1:F28"/>
  <sheetViews>
    <sheetView showGridLines="0" zoomScale="115" zoomScaleNormal="115" workbookViewId="0">
      <selection activeCell="C6" sqref="C6:D15"/>
    </sheetView>
  </sheetViews>
  <sheetFormatPr defaultColWidth="9.140625" defaultRowHeight="12.75" x14ac:dyDescent="0.25"/>
  <cols>
    <col min="1" max="1" width="11.85546875" style="656" bestFit="1" customWidth="1"/>
    <col min="2" max="2" width="108" style="656" bestFit="1" customWidth="1"/>
    <col min="3" max="3" width="35.5703125" style="656" customWidth="1"/>
    <col min="4" max="4" width="38.42578125" style="656" customWidth="1"/>
    <col min="5" max="5" width="10.42578125" style="656" bestFit="1" customWidth="1"/>
    <col min="6" max="6" width="9.85546875" style="656" bestFit="1" customWidth="1"/>
    <col min="7" max="7" width="62.140625" style="656" customWidth="1"/>
    <col min="8" max="16384" width="9.140625" style="656"/>
  </cols>
  <sheetData>
    <row r="1" spans="1:6" ht="13.5" x14ac:dyDescent="0.25">
      <c r="A1" s="655" t="s">
        <v>41</v>
      </c>
      <c r="B1" s="24" t="str">
        <f>Info!C2</f>
        <v>სს სილქ ბანკი</v>
      </c>
    </row>
    <row r="2" spans="1:6" x14ac:dyDescent="0.25">
      <c r="A2" s="655" t="s">
        <v>42</v>
      </c>
      <c r="B2" s="657">
        <f>'1. key ratios'!B2</f>
        <v>45382</v>
      </c>
    </row>
    <row r="3" spans="1:6" x14ac:dyDescent="0.25">
      <c r="A3" s="658" t="s">
        <v>622</v>
      </c>
      <c r="C3" s="723"/>
    </row>
    <row r="4" spans="1:6" ht="40.5" customHeight="1" x14ac:dyDescent="0.25"/>
    <row r="5" spans="1:6" x14ac:dyDescent="0.25">
      <c r="A5" s="724" t="s">
        <v>623</v>
      </c>
      <c r="B5" s="724"/>
      <c r="C5" s="671" t="s">
        <v>624</v>
      </c>
      <c r="D5" s="671" t="s">
        <v>625</v>
      </c>
    </row>
    <row r="6" spans="1:6" x14ac:dyDescent="0.25">
      <c r="A6" s="725">
        <v>1</v>
      </c>
      <c r="B6" s="726" t="s">
        <v>626</v>
      </c>
      <c r="C6" s="727">
        <v>1710037.7687115525</v>
      </c>
      <c r="D6" s="727">
        <v>99875.934631852346</v>
      </c>
    </row>
    <row r="7" spans="1:6" x14ac:dyDescent="0.25">
      <c r="A7" s="728">
        <v>2</v>
      </c>
      <c r="B7" s="726" t="s">
        <v>627</v>
      </c>
      <c r="C7" s="674">
        <f>SUM(C8:C9)</f>
        <v>374666.01973346202</v>
      </c>
      <c r="D7" s="675">
        <f>D9+D8</f>
        <v>0</v>
      </c>
      <c r="E7" s="677"/>
      <c r="F7" s="677"/>
    </row>
    <row r="8" spans="1:6" x14ac:dyDescent="0.25">
      <c r="A8" s="729">
        <v>2.1</v>
      </c>
      <c r="B8" s="730" t="s">
        <v>628</v>
      </c>
      <c r="C8" s="674">
        <v>351648.78653237817</v>
      </c>
      <c r="D8" s="675"/>
      <c r="E8" s="677"/>
      <c r="F8" s="677"/>
    </row>
    <row r="9" spans="1:6" x14ac:dyDescent="0.25">
      <c r="A9" s="729">
        <v>2.2000000000000002</v>
      </c>
      <c r="B9" s="730" t="s">
        <v>629</v>
      </c>
      <c r="C9" s="674">
        <v>23017.233201083858</v>
      </c>
      <c r="D9" s="674"/>
      <c r="E9" s="677"/>
      <c r="F9" s="677"/>
    </row>
    <row r="10" spans="1:6" x14ac:dyDescent="0.25">
      <c r="A10" s="725">
        <v>3</v>
      </c>
      <c r="B10" s="726" t="s">
        <v>630</v>
      </c>
      <c r="C10" s="674">
        <f>SUM(C11:C13)</f>
        <v>764883.77645341051</v>
      </c>
      <c r="D10" s="675"/>
      <c r="E10" s="677"/>
      <c r="F10" s="677"/>
    </row>
    <row r="11" spans="1:6" x14ac:dyDescent="0.25">
      <c r="A11" s="729">
        <v>3.1</v>
      </c>
      <c r="B11" s="730" t="s">
        <v>631</v>
      </c>
      <c r="C11" s="674">
        <f>'19. Assets by Risk Sectors'!G34</f>
        <v>64086.999999999993</v>
      </c>
      <c r="D11" s="675"/>
      <c r="E11" s="677"/>
      <c r="F11" s="677"/>
    </row>
    <row r="12" spans="1:6" x14ac:dyDescent="0.25">
      <c r="A12" s="729">
        <v>3.2</v>
      </c>
      <c r="B12" s="730" t="s">
        <v>632</v>
      </c>
      <c r="C12" s="674">
        <v>492303.77645341057</v>
      </c>
      <c r="D12" s="675"/>
      <c r="E12" s="677"/>
      <c r="F12" s="677"/>
    </row>
    <row r="13" spans="1:6" x14ac:dyDescent="0.25">
      <c r="A13" s="729">
        <v>3.3</v>
      </c>
      <c r="B13" s="730" t="s">
        <v>633</v>
      </c>
      <c r="C13" s="674">
        <v>208493</v>
      </c>
      <c r="D13" s="675"/>
      <c r="E13" s="677"/>
      <c r="F13" s="677"/>
    </row>
    <row r="14" spans="1:6" x14ac:dyDescent="0.25">
      <c r="A14" s="728">
        <v>4</v>
      </c>
      <c r="B14" s="731" t="s">
        <v>634</v>
      </c>
      <c r="C14" s="674">
        <v>63357</v>
      </c>
      <c r="D14" s="675">
        <v>950</v>
      </c>
      <c r="E14" s="722"/>
    </row>
    <row r="15" spans="1:6" x14ac:dyDescent="0.25">
      <c r="A15" s="732">
        <v>5</v>
      </c>
      <c r="B15" s="726" t="s">
        <v>635</v>
      </c>
      <c r="C15" s="727">
        <f>C6+C7-C10+C14</f>
        <v>1383177.011991604</v>
      </c>
      <c r="D15" s="727">
        <f>D6+D7-D10+D14</f>
        <v>100825.93463185235</v>
      </c>
      <c r="E15" s="733"/>
    </row>
    <row r="16" spans="1:6" x14ac:dyDescent="0.25">
      <c r="C16" s="883"/>
      <c r="D16" s="883"/>
    </row>
    <row r="17" spans="2:3" x14ac:dyDescent="0.25">
      <c r="C17" s="723"/>
    </row>
    <row r="18" spans="2:3" x14ac:dyDescent="0.25">
      <c r="C18" s="723"/>
    </row>
    <row r="19" spans="2:3" x14ac:dyDescent="0.25">
      <c r="C19" s="677"/>
    </row>
    <row r="22" spans="2:3" x14ac:dyDescent="0.25">
      <c r="B22" s="734"/>
    </row>
    <row r="28" spans="2:3" x14ac:dyDescent="0.25">
      <c r="C28" s="677"/>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07F56-26D4-4B01-B82F-FC0DAB90DB37}">
  <dimension ref="A1:D24"/>
  <sheetViews>
    <sheetView showGridLines="0" zoomScaleNormal="100" workbookViewId="0">
      <selection activeCell="C7" sqref="C7:C18"/>
    </sheetView>
  </sheetViews>
  <sheetFormatPr defaultColWidth="9.140625" defaultRowHeight="12.75" x14ac:dyDescent="0.25"/>
  <cols>
    <col min="1" max="1" width="11.85546875" style="686" bestFit="1" customWidth="1"/>
    <col min="2" max="2" width="128.85546875" style="686" bestFit="1" customWidth="1"/>
    <col min="3" max="3" width="37" style="686" customWidth="1"/>
    <col min="4" max="4" width="50.5703125" style="686" customWidth="1"/>
    <col min="5" max="6" width="9.140625" style="686"/>
    <col min="7" max="7" width="62.140625" style="686" customWidth="1"/>
    <col min="8" max="16384" width="9.140625" style="686"/>
  </cols>
  <sheetData>
    <row r="1" spans="1:4" ht="13.5" x14ac:dyDescent="0.25">
      <c r="A1" s="655" t="s">
        <v>41</v>
      </c>
      <c r="B1" s="24" t="str">
        <f>Info!C2</f>
        <v>სს სილქ ბანკი</v>
      </c>
    </row>
    <row r="2" spans="1:4" x14ac:dyDescent="0.25">
      <c r="A2" s="655" t="s">
        <v>42</v>
      </c>
      <c r="B2" s="657">
        <f>'1. key ratios'!B2</f>
        <v>45382</v>
      </c>
    </row>
    <row r="3" spans="1:4" x14ac:dyDescent="0.25">
      <c r="A3" s="658" t="s">
        <v>636</v>
      </c>
    </row>
    <row r="4" spans="1:4" ht="40.5" customHeight="1" x14ac:dyDescent="0.25">
      <c r="A4" s="658"/>
    </row>
    <row r="5" spans="1:4" ht="15" customHeight="1" x14ac:dyDescent="0.25">
      <c r="A5" s="735" t="s">
        <v>35</v>
      </c>
      <c r="B5" s="736"/>
      <c r="C5" s="737" t="s">
        <v>637</v>
      </c>
      <c r="D5" s="737" t="s">
        <v>638</v>
      </c>
    </row>
    <row r="6" spans="1:4" x14ac:dyDescent="0.25">
      <c r="A6" s="738"/>
      <c r="B6" s="739"/>
      <c r="C6" s="737"/>
      <c r="D6" s="737"/>
    </row>
    <row r="7" spans="1:4" x14ac:dyDescent="0.25">
      <c r="A7" s="705">
        <v>1</v>
      </c>
      <c r="B7" s="705" t="s">
        <v>639</v>
      </c>
      <c r="C7" s="696">
        <v>1239717.489271835</v>
      </c>
      <c r="D7" s="740"/>
    </row>
    <row r="8" spans="1:4" x14ac:dyDescent="0.25">
      <c r="A8" s="697">
        <v>2</v>
      </c>
      <c r="B8" s="697" t="s">
        <v>640</v>
      </c>
      <c r="C8" s="695">
        <v>105246</v>
      </c>
      <c r="D8" s="740"/>
    </row>
    <row r="9" spans="1:4" x14ac:dyDescent="0.25">
      <c r="A9" s="697">
        <v>3</v>
      </c>
      <c r="B9" s="741" t="s">
        <v>641</v>
      </c>
      <c r="C9" s="695">
        <v>95126</v>
      </c>
      <c r="D9" s="740"/>
    </row>
    <row r="10" spans="1:4" x14ac:dyDescent="0.25">
      <c r="A10" s="697">
        <v>4</v>
      </c>
      <c r="B10" s="697" t="s">
        <v>642</v>
      </c>
      <c r="C10" s="695">
        <f>SUM(C11:C17)</f>
        <v>858959.5</v>
      </c>
      <c r="D10" s="740"/>
    </row>
    <row r="11" spans="1:4" x14ac:dyDescent="0.25">
      <c r="A11" s="697">
        <v>5</v>
      </c>
      <c r="B11" s="742" t="s">
        <v>643</v>
      </c>
      <c r="C11" s="695">
        <v>45129</v>
      </c>
      <c r="D11" s="740"/>
    </row>
    <row r="12" spans="1:4" x14ac:dyDescent="0.25">
      <c r="A12" s="697">
        <v>6</v>
      </c>
      <c r="B12" s="742" t="s">
        <v>644</v>
      </c>
      <c r="C12" s="695">
        <f>349746+319914+80083.5</f>
        <v>749743.5</v>
      </c>
      <c r="D12" s="740"/>
    </row>
    <row r="13" spans="1:4" x14ac:dyDescent="0.25">
      <c r="A13" s="697">
        <v>7</v>
      </c>
      <c r="B13" s="742" t="s">
        <v>645</v>
      </c>
      <c r="C13" s="696">
        <f>'20. Reserves'!C11</f>
        <v>64086.999999999993</v>
      </c>
      <c r="D13" s="740"/>
    </row>
    <row r="14" spans="1:4" x14ac:dyDescent="0.25">
      <c r="A14" s="697">
        <v>8</v>
      </c>
      <c r="B14" s="742" t="s">
        <v>646</v>
      </c>
      <c r="C14" s="696"/>
      <c r="D14" s="697"/>
    </row>
    <row r="15" spans="1:4" x14ac:dyDescent="0.25">
      <c r="A15" s="697">
        <v>9</v>
      </c>
      <c r="B15" s="742" t="s">
        <v>647</v>
      </c>
      <c r="C15" s="696"/>
      <c r="D15" s="697"/>
    </row>
    <row r="16" spans="1:4" x14ac:dyDescent="0.25">
      <c r="A16" s="697">
        <v>10</v>
      </c>
      <c r="B16" s="742" t="s">
        <v>648</v>
      </c>
      <c r="C16" s="696"/>
      <c r="D16" s="697"/>
    </row>
    <row r="17" spans="1:4" ht="25.5" x14ac:dyDescent="0.25">
      <c r="A17" s="697">
        <v>11</v>
      </c>
      <c r="B17" s="742" t="s">
        <v>649</v>
      </c>
      <c r="C17" s="696"/>
      <c r="D17" s="740"/>
    </row>
    <row r="18" spans="1:4" x14ac:dyDescent="0.25">
      <c r="A18" s="705">
        <v>12</v>
      </c>
      <c r="B18" s="743" t="s">
        <v>650</v>
      </c>
      <c r="C18" s="894">
        <f>SUM(C7:C9,-C10)</f>
        <v>581129.98927183496</v>
      </c>
      <c r="D18" s="740"/>
    </row>
    <row r="19" spans="1:4" x14ac:dyDescent="0.25">
      <c r="C19" s="891"/>
    </row>
    <row r="20" spans="1:4" x14ac:dyDescent="0.25">
      <c r="C20" s="892"/>
    </row>
    <row r="21" spans="1:4" x14ac:dyDescent="0.25">
      <c r="B21" s="655"/>
      <c r="C21" s="893"/>
    </row>
    <row r="22" spans="1:4" x14ac:dyDescent="0.25">
      <c r="B22" s="744"/>
    </row>
    <row r="23" spans="1:4" x14ac:dyDescent="0.25">
      <c r="B23" s="658"/>
    </row>
    <row r="24" spans="1:4" x14ac:dyDescent="0.25">
      <c r="C24" s="745"/>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A341-500C-4561-A935-17C6527392AD}">
  <dimension ref="A1:AB39"/>
  <sheetViews>
    <sheetView showGridLines="0" topLeftCell="A4" zoomScale="110" zoomScaleNormal="110" workbookViewId="0">
      <selection activeCell="C8" sqref="C8:AA28"/>
    </sheetView>
  </sheetViews>
  <sheetFormatPr defaultColWidth="9.140625" defaultRowHeight="12.75" x14ac:dyDescent="0.25"/>
  <cols>
    <col min="1" max="1" width="11.85546875" style="686" bestFit="1" customWidth="1"/>
    <col min="2" max="2" width="63.85546875" style="686" customWidth="1"/>
    <col min="3" max="3" width="15.5703125" style="686" customWidth="1"/>
    <col min="4" max="4" width="18.28515625" style="686" customWidth="1"/>
    <col min="5" max="6" width="22.28515625" style="686" customWidth="1"/>
    <col min="7" max="7" width="19" style="686" customWidth="1"/>
    <col min="8" max="18" width="22.28515625" style="686" customWidth="1"/>
    <col min="19" max="19" width="23.28515625" style="686" bestFit="1" customWidth="1"/>
    <col min="20" max="26" width="22.28515625" style="686" customWidth="1"/>
    <col min="27" max="27" width="23.28515625" style="686" customWidth="1"/>
    <col min="28" max="28" width="20" style="686" customWidth="1"/>
    <col min="29" max="16384" width="9.140625" style="686"/>
  </cols>
  <sheetData>
    <row r="1" spans="1:28" ht="13.5" x14ac:dyDescent="0.25">
      <c r="A1" s="655" t="s">
        <v>41</v>
      </c>
      <c r="B1" s="24" t="str">
        <f>Info!C2</f>
        <v>სს სილქ ბანკი</v>
      </c>
    </row>
    <row r="2" spans="1:28" x14ac:dyDescent="0.25">
      <c r="A2" s="655" t="s">
        <v>42</v>
      </c>
      <c r="B2" s="657">
        <f>'1. key ratios'!B2</f>
        <v>45382</v>
      </c>
      <c r="C2" s="687"/>
    </row>
    <row r="3" spans="1:28" x14ac:dyDescent="0.25">
      <c r="A3" s="658" t="s">
        <v>651</v>
      </c>
      <c r="D3" s="686">
        <v>0</v>
      </c>
      <c r="E3" s="746" t="s">
        <v>652</v>
      </c>
      <c r="F3" s="747" t="s">
        <v>653</v>
      </c>
      <c r="G3" s="686" t="s">
        <v>654</v>
      </c>
      <c r="P3" s="686">
        <v>365</v>
      </c>
      <c r="Q3" s="686">
        <f>365*2</f>
        <v>730</v>
      </c>
      <c r="R3" s="686">
        <f>365*5</f>
        <v>1825</v>
      </c>
    </row>
    <row r="4" spans="1:28" ht="40.5" customHeight="1" x14ac:dyDescent="0.25">
      <c r="C4" s="745"/>
    </row>
    <row r="5" spans="1:28" ht="15" customHeight="1" x14ac:dyDescent="0.25">
      <c r="A5" s="748" t="s">
        <v>655</v>
      </c>
      <c r="B5" s="749"/>
      <c r="C5" s="716" t="s">
        <v>656</v>
      </c>
      <c r="D5" s="750"/>
      <c r="E5" s="750"/>
      <c r="F5" s="750"/>
      <c r="G5" s="750"/>
      <c r="H5" s="750"/>
      <c r="I5" s="750"/>
      <c r="J5" s="750"/>
      <c r="K5" s="750"/>
      <c r="L5" s="750"/>
      <c r="M5" s="750"/>
      <c r="N5" s="750"/>
      <c r="O5" s="750"/>
      <c r="P5" s="750"/>
      <c r="Q5" s="750"/>
      <c r="R5" s="750"/>
      <c r="S5" s="750"/>
      <c r="T5" s="751"/>
      <c r="U5" s="751"/>
      <c r="V5" s="751"/>
      <c r="W5" s="751"/>
      <c r="X5" s="751"/>
      <c r="Y5" s="751"/>
      <c r="Z5" s="751"/>
      <c r="AA5" s="752"/>
      <c r="AB5" s="746"/>
    </row>
    <row r="6" spans="1:28" x14ac:dyDescent="0.25">
      <c r="A6" s="753"/>
      <c r="B6" s="754"/>
      <c r="C6" s="755" t="s">
        <v>96</v>
      </c>
      <c r="D6" s="756" t="s">
        <v>657</v>
      </c>
      <c r="E6" s="756"/>
      <c r="F6" s="756"/>
      <c r="G6" s="756"/>
      <c r="H6" s="757" t="s">
        <v>658</v>
      </c>
      <c r="I6" s="758"/>
      <c r="J6" s="758"/>
      <c r="K6" s="759"/>
      <c r="L6" s="760"/>
      <c r="M6" s="761" t="s">
        <v>659</v>
      </c>
      <c r="N6" s="761"/>
      <c r="O6" s="761"/>
      <c r="P6" s="761"/>
      <c r="Q6" s="761"/>
      <c r="R6" s="761"/>
      <c r="S6" s="693"/>
      <c r="T6" s="762"/>
      <c r="U6" s="717" t="s">
        <v>660</v>
      </c>
      <c r="V6" s="717"/>
      <c r="W6" s="717"/>
      <c r="X6" s="717"/>
      <c r="Y6" s="717"/>
      <c r="Z6" s="717"/>
      <c r="AA6" s="689"/>
      <c r="AB6" s="760"/>
    </row>
    <row r="7" spans="1:28" ht="25.5" x14ac:dyDescent="0.25">
      <c r="A7" s="763"/>
      <c r="B7" s="764"/>
      <c r="C7" s="765"/>
      <c r="D7" s="766"/>
      <c r="E7" s="691" t="s">
        <v>661</v>
      </c>
      <c r="F7" s="691" t="s">
        <v>662</v>
      </c>
      <c r="G7" s="691" t="s">
        <v>663</v>
      </c>
      <c r="H7" s="767"/>
      <c r="I7" s="691" t="s">
        <v>661</v>
      </c>
      <c r="J7" s="691" t="s">
        <v>662</v>
      </c>
      <c r="K7" s="691" t="s">
        <v>663</v>
      </c>
      <c r="L7" s="768"/>
      <c r="M7" s="691" t="s">
        <v>661</v>
      </c>
      <c r="N7" s="691" t="s">
        <v>662</v>
      </c>
      <c r="O7" s="691" t="s">
        <v>664</v>
      </c>
      <c r="P7" s="691" t="s">
        <v>665</v>
      </c>
      <c r="Q7" s="691" t="s">
        <v>666</v>
      </c>
      <c r="R7" s="691" t="s">
        <v>667</v>
      </c>
      <c r="S7" s="691" t="s">
        <v>668</v>
      </c>
      <c r="T7" s="769"/>
      <c r="U7" s="691" t="s">
        <v>661</v>
      </c>
      <c r="V7" s="691" t="s">
        <v>662</v>
      </c>
      <c r="W7" s="691" t="s">
        <v>664</v>
      </c>
      <c r="X7" s="691" t="s">
        <v>665</v>
      </c>
      <c r="Y7" s="691" t="s">
        <v>666</v>
      </c>
      <c r="Z7" s="691" t="s">
        <v>667</v>
      </c>
      <c r="AA7" s="691" t="s">
        <v>668</v>
      </c>
      <c r="AB7" s="746"/>
    </row>
    <row r="8" spans="1:28" x14ac:dyDescent="0.25">
      <c r="A8" s="770">
        <v>1</v>
      </c>
      <c r="B8" s="705" t="s">
        <v>624</v>
      </c>
      <c r="C8" s="720">
        <f>D8+H8+L8</f>
        <v>71106091.565845177</v>
      </c>
      <c r="D8" s="695">
        <f>D13+D14</f>
        <v>70149514.568711162</v>
      </c>
      <c r="E8" s="695">
        <f t="shared" ref="E8:AA8" si="0">E13+E14</f>
        <v>490653.43931533903</v>
      </c>
      <c r="F8" s="695">
        <f t="shared" si="0"/>
        <v>0</v>
      </c>
      <c r="G8" s="695">
        <f t="shared" si="0"/>
        <v>0</v>
      </c>
      <c r="H8" s="695">
        <f t="shared" si="0"/>
        <v>375447.00300434162</v>
      </c>
      <c r="I8" s="695">
        <f t="shared" si="0"/>
        <v>4724.8234383954159</v>
      </c>
      <c r="J8" s="695">
        <f t="shared" si="0"/>
        <v>40945.67420237037</v>
      </c>
      <c r="K8" s="695">
        <f t="shared" si="0"/>
        <v>0</v>
      </c>
      <c r="L8" s="695">
        <f t="shared" si="0"/>
        <v>581129.99412966787</v>
      </c>
      <c r="M8" s="695">
        <f t="shared" si="0"/>
        <v>8540.61</v>
      </c>
      <c r="N8" s="695">
        <f t="shared" si="0"/>
        <v>0</v>
      </c>
      <c r="O8" s="695">
        <f t="shared" si="0"/>
        <v>56423.05447867672</v>
      </c>
      <c r="P8" s="695">
        <f t="shared" si="0"/>
        <v>133466.3396509912</v>
      </c>
      <c r="Q8" s="695">
        <f t="shared" si="0"/>
        <v>0</v>
      </c>
      <c r="R8" s="695">
        <f t="shared" si="0"/>
        <v>144338.21</v>
      </c>
      <c r="S8" s="695">
        <f t="shared" si="0"/>
        <v>0</v>
      </c>
      <c r="T8" s="695">
        <f t="shared" si="0"/>
        <v>0</v>
      </c>
      <c r="U8" s="695">
        <f t="shared" si="0"/>
        <v>0</v>
      </c>
      <c r="V8" s="695">
        <f t="shared" si="0"/>
        <v>0</v>
      </c>
      <c r="W8" s="695">
        <f t="shared" si="0"/>
        <v>0</v>
      </c>
      <c r="X8" s="695">
        <f t="shared" si="0"/>
        <v>0</v>
      </c>
      <c r="Y8" s="695">
        <f t="shared" si="0"/>
        <v>0</v>
      </c>
      <c r="Z8" s="695">
        <f t="shared" si="0"/>
        <v>0</v>
      </c>
      <c r="AA8" s="695">
        <f t="shared" si="0"/>
        <v>0</v>
      </c>
    </row>
    <row r="9" spans="1:28" x14ac:dyDescent="0.25">
      <c r="A9" s="697">
        <v>1.1000000000000001</v>
      </c>
      <c r="B9" s="728" t="s">
        <v>669</v>
      </c>
      <c r="C9" s="720">
        <f t="shared" ref="C9:C14" si="1">D9+H9+L9</f>
        <v>0</v>
      </c>
      <c r="D9" s="695"/>
      <c r="E9" s="695"/>
      <c r="F9" s="695"/>
      <c r="G9" s="695"/>
      <c r="H9" s="695"/>
      <c r="I9" s="695"/>
      <c r="J9" s="695"/>
      <c r="K9" s="695"/>
      <c r="L9" s="695"/>
      <c r="M9" s="695"/>
      <c r="N9" s="695"/>
      <c r="O9" s="695"/>
      <c r="P9" s="695"/>
      <c r="Q9" s="695"/>
      <c r="R9" s="695"/>
      <c r="S9" s="695"/>
      <c r="T9" s="695"/>
      <c r="U9" s="695"/>
      <c r="V9" s="695"/>
      <c r="W9" s="695"/>
      <c r="X9" s="695"/>
      <c r="Y9" s="695"/>
      <c r="Z9" s="695"/>
      <c r="AA9" s="695"/>
    </row>
    <row r="10" spans="1:28" x14ac:dyDescent="0.25">
      <c r="A10" s="697">
        <v>1.2</v>
      </c>
      <c r="B10" s="728" t="s">
        <v>670</v>
      </c>
      <c r="C10" s="720">
        <f t="shared" si="1"/>
        <v>0</v>
      </c>
      <c r="D10" s="695"/>
      <c r="E10" s="695"/>
      <c r="F10" s="695"/>
      <c r="G10" s="695"/>
      <c r="H10" s="695"/>
      <c r="I10" s="695"/>
      <c r="J10" s="695"/>
      <c r="K10" s="695"/>
      <c r="L10" s="695"/>
      <c r="M10" s="695"/>
      <c r="N10" s="695"/>
      <c r="O10" s="695"/>
      <c r="P10" s="695"/>
      <c r="Q10" s="695"/>
      <c r="R10" s="695"/>
      <c r="S10" s="695"/>
      <c r="T10" s="695"/>
      <c r="U10" s="695"/>
      <c r="V10" s="695"/>
      <c r="W10" s="695"/>
      <c r="X10" s="695"/>
      <c r="Y10" s="695"/>
      <c r="Z10" s="695"/>
      <c r="AA10" s="695"/>
    </row>
    <row r="11" spans="1:28" x14ac:dyDescent="0.25">
      <c r="A11" s="697">
        <v>1.3</v>
      </c>
      <c r="B11" s="728" t="s">
        <v>671</v>
      </c>
      <c r="C11" s="720">
        <f t="shared" si="1"/>
        <v>0</v>
      </c>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5"/>
    </row>
    <row r="12" spans="1:28" x14ac:dyDescent="0.25">
      <c r="A12" s="697">
        <v>1.4</v>
      </c>
      <c r="B12" s="728" t="s">
        <v>672</v>
      </c>
      <c r="C12" s="720">
        <f t="shared" si="1"/>
        <v>0</v>
      </c>
      <c r="D12" s="695"/>
      <c r="E12" s="695"/>
      <c r="F12" s="695"/>
      <c r="G12" s="695"/>
      <c r="H12" s="695"/>
      <c r="I12" s="695"/>
      <c r="J12" s="695"/>
      <c r="K12" s="695"/>
      <c r="L12" s="695"/>
      <c r="M12" s="695"/>
      <c r="N12" s="695"/>
      <c r="O12" s="695"/>
      <c r="P12" s="695"/>
      <c r="Q12" s="695"/>
      <c r="R12" s="695"/>
      <c r="S12" s="695"/>
      <c r="T12" s="695"/>
      <c r="U12" s="695"/>
      <c r="V12" s="695"/>
      <c r="W12" s="695"/>
      <c r="X12" s="695"/>
      <c r="Y12" s="695"/>
      <c r="Z12" s="695"/>
      <c r="AA12" s="695"/>
    </row>
    <row r="13" spans="1:28" x14ac:dyDescent="0.25">
      <c r="A13" s="697">
        <v>1.5</v>
      </c>
      <c r="B13" s="728" t="s">
        <v>673</v>
      </c>
      <c r="C13" s="894">
        <f t="shared" si="1"/>
        <v>53298950.622199439</v>
      </c>
      <c r="D13" s="696">
        <v>52925146.192967251</v>
      </c>
      <c r="E13" s="696">
        <v>0</v>
      </c>
      <c r="F13" s="696">
        <v>0</v>
      </c>
      <c r="G13" s="696">
        <v>0</v>
      </c>
      <c r="H13" s="696">
        <v>162792.34923218898</v>
      </c>
      <c r="I13" s="696">
        <v>0</v>
      </c>
      <c r="J13" s="696">
        <v>0</v>
      </c>
      <c r="K13" s="696">
        <v>0</v>
      </c>
      <c r="L13" s="696">
        <v>211012.08</v>
      </c>
      <c r="M13" s="696">
        <v>0</v>
      </c>
      <c r="N13" s="696">
        <v>0</v>
      </c>
      <c r="O13" s="696">
        <v>0</v>
      </c>
      <c r="P13" s="696">
        <v>66673.87</v>
      </c>
      <c r="Q13" s="696">
        <v>0</v>
      </c>
      <c r="R13" s="696">
        <v>144338.21</v>
      </c>
      <c r="S13" s="696">
        <v>0</v>
      </c>
      <c r="T13" s="696"/>
      <c r="U13" s="696"/>
      <c r="V13" s="696"/>
      <c r="W13" s="696"/>
      <c r="X13" s="696"/>
      <c r="Y13" s="696"/>
      <c r="Z13" s="696"/>
      <c r="AA13" s="696"/>
    </row>
    <row r="14" spans="1:28" x14ac:dyDescent="0.25">
      <c r="A14" s="697">
        <v>1.6</v>
      </c>
      <c r="B14" s="728" t="s">
        <v>674</v>
      </c>
      <c r="C14" s="894">
        <f t="shared" si="1"/>
        <v>17807140.943645738</v>
      </c>
      <c r="D14" s="696">
        <v>17224368.375743918</v>
      </c>
      <c r="E14" s="696">
        <v>490653.43931533903</v>
      </c>
      <c r="F14" s="696">
        <v>0</v>
      </c>
      <c r="G14" s="696">
        <v>0</v>
      </c>
      <c r="H14" s="696">
        <v>212654.65377215267</v>
      </c>
      <c r="I14" s="696">
        <v>4724.8234383954159</v>
      </c>
      <c r="J14" s="696">
        <v>40945.67420237037</v>
      </c>
      <c r="K14" s="696">
        <v>0</v>
      </c>
      <c r="L14" s="696">
        <v>370117.91412966786</v>
      </c>
      <c r="M14" s="696">
        <v>8540.61</v>
      </c>
      <c r="N14" s="696">
        <v>0</v>
      </c>
      <c r="O14" s="696">
        <v>56423.05447867672</v>
      </c>
      <c r="P14" s="696">
        <v>66792.469650991188</v>
      </c>
      <c r="Q14" s="696">
        <v>0</v>
      </c>
      <c r="R14" s="696">
        <v>0</v>
      </c>
      <c r="S14" s="696">
        <v>0</v>
      </c>
      <c r="T14" s="696"/>
      <c r="U14" s="696"/>
      <c r="V14" s="696"/>
      <c r="W14" s="696"/>
      <c r="X14" s="696"/>
      <c r="Y14" s="696"/>
      <c r="Z14" s="696"/>
      <c r="AA14" s="696"/>
    </row>
    <row r="15" spans="1:28" x14ac:dyDescent="0.25">
      <c r="A15" s="770">
        <v>2</v>
      </c>
      <c r="B15" s="705" t="s">
        <v>108</v>
      </c>
      <c r="C15" s="898">
        <f>C17</f>
        <v>26677516.490000002</v>
      </c>
      <c r="D15" s="898">
        <f>D17</f>
        <v>26677516.490000002</v>
      </c>
      <c r="E15" s="899"/>
      <c r="F15" s="899"/>
      <c r="G15" s="899"/>
      <c r="H15" s="899"/>
      <c r="I15" s="899"/>
      <c r="J15" s="899"/>
      <c r="K15" s="899"/>
      <c r="L15" s="899"/>
      <c r="M15" s="899"/>
      <c r="N15" s="899"/>
      <c r="O15" s="899"/>
      <c r="P15" s="899"/>
      <c r="Q15" s="899"/>
      <c r="R15" s="899"/>
      <c r="S15" s="899"/>
      <c r="T15" s="899"/>
      <c r="U15" s="899"/>
      <c r="V15" s="899"/>
      <c r="W15" s="899"/>
      <c r="X15" s="899"/>
      <c r="Y15" s="899"/>
      <c r="Z15" s="899"/>
      <c r="AA15" s="899"/>
    </row>
    <row r="16" spans="1:28" x14ac:dyDescent="0.25">
      <c r="A16" s="697">
        <v>2.1</v>
      </c>
      <c r="B16" s="728" t="s">
        <v>669</v>
      </c>
      <c r="C16" s="728"/>
      <c r="D16" s="697"/>
      <c r="E16" s="697"/>
      <c r="F16" s="697"/>
      <c r="G16" s="697"/>
      <c r="H16" s="697"/>
      <c r="I16" s="697"/>
      <c r="J16" s="697"/>
      <c r="K16" s="697"/>
      <c r="L16" s="697"/>
      <c r="M16" s="697"/>
      <c r="N16" s="697"/>
      <c r="O16" s="697"/>
      <c r="P16" s="697"/>
      <c r="Q16" s="697"/>
      <c r="R16" s="697"/>
      <c r="S16" s="697"/>
      <c r="T16" s="697"/>
      <c r="U16" s="697"/>
      <c r="V16" s="697"/>
      <c r="W16" s="697"/>
      <c r="X16" s="697"/>
      <c r="Y16" s="697"/>
      <c r="Z16" s="697"/>
      <c r="AA16" s="697"/>
    </row>
    <row r="17" spans="1:27" x14ac:dyDescent="0.25">
      <c r="A17" s="697">
        <v>2.2000000000000002</v>
      </c>
      <c r="B17" s="728" t="s">
        <v>670</v>
      </c>
      <c r="C17" s="900">
        <f>D17+H17+L17</f>
        <v>26677516.490000002</v>
      </c>
      <c r="D17" s="696">
        <v>26677516.490000002</v>
      </c>
      <c r="E17" s="697"/>
      <c r="F17" s="697"/>
      <c r="G17" s="697"/>
      <c r="H17" s="697"/>
      <c r="I17" s="697"/>
      <c r="J17" s="697"/>
      <c r="K17" s="697"/>
      <c r="L17" s="697"/>
      <c r="M17" s="697"/>
      <c r="N17" s="697"/>
      <c r="O17" s="697"/>
      <c r="P17" s="697"/>
      <c r="Q17" s="697"/>
      <c r="R17" s="697"/>
      <c r="S17" s="697"/>
      <c r="T17" s="697"/>
      <c r="U17" s="697"/>
      <c r="V17" s="697"/>
      <c r="W17" s="697"/>
      <c r="X17" s="697"/>
      <c r="Y17" s="697"/>
      <c r="Z17" s="697"/>
      <c r="AA17" s="697"/>
    </row>
    <row r="18" spans="1:27" x14ac:dyDescent="0.25">
      <c r="A18" s="697">
        <v>2.2999999999999998</v>
      </c>
      <c r="B18" s="728" t="s">
        <v>671</v>
      </c>
      <c r="C18" s="901"/>
      <c r="D18" s="899"/>
      <c r="E18" s="697"/>
      <c r="G18" s="697"/>
      <c r="H18" s="697"/>
      <c r="I18" s="697"/>
      <c r="J18" s="697"/>
      <c r="K18" s="697"/>
      <c r="L18" s="697"/>
      <c r="M18" s="697"/>
      <c r="N18" s="697"/>
      <c r="O18" s="697"/>
      <c r="P18" s="697"/>
      <c r="Q18" s="697"/>
      <c r="R18" s="697"/>
      <c r="S18" s="697"/>
      <c r="T18" s="697"/>
      <c r="U18" s="697"/>
      <c r="V18" s="697"/>
      <c r="W18" s="697"/>
      <c r="X18" s="697"/>
      <c r="Y18" s="697"/>
      <c r="Z18" s="697"/>
      <c r="AA18" s="697"/>
    </row>
    <row r="19" spans="1:27" x14ac:dyDescent="0.25">
      <c r="A19" s="697">
        <v>2.4</v>
      </c>
      <c r="B19" s="728" t="s">
        <v>672</v>
      </c>
      <c r="C19" s="901"/>
      <c r="D19" s="899"/>
      <c r="E19" s="697"/>
      <c r="F19" s="697"/>
      <c r="G19" s="697"/>
      <c r="H19" s="697"/>
      <c r="I19" s="697"/>
      <c r="J19" s="697"/>
      <c r="K19" s="697"/>
      <c r="L19" s="697"/>
      <c r="M19" s="697"/>
      <c r="N19" s="697"/>
      <c r="O19" s="697"/>
      <c r="P19" s="697"/>
      <c r="Q19" s="697"/>
      <c r="R19" s="697"/>
      <c r="S19" s="697"/>
      <c r="T19" s="697"/>
      <c r="U19" s="697"/>
      <c r="V19" s="697"/>
      <c r="W19" s="697"/>
      <c r="X19" s="697"/>
      <c r="Y19" s="697"/>
      <c r="Z19" s="697"/>
      <c r="AA19" s="697"/>
    </row>
    <row r="20" spans="1:27" x14ac:dyDescent="0.25">
      <c r="A20" s="697">
        <v>2.5</v>
      </c>
      <c r="B20" s="728" t="s">
        <v>673</v>
      </c>
      <c r="C20" s="901"/>
      <c r="D20" s="899"/>
      <c r="E20" s="697"/>
      <c r="F20" s="697"/>
      <c r="G20" s="697"/>
      <c r="H20" s="697"/>
      <c r="I20" s="697"/>
      <c r="J20" s="697"/>
      <c r="K20" s="697"/>
      <c r="L20" s="697"/>
      <c r="M20" s="697"/>
      <c r="N20" s="697"/>
      <c r="O20" s="697"/>
      <c r="P20" s="697"/>
      <c r="Q20" s="697"/>
      <c r="R20" s="697"/>
      <c r="S20" s="697"/>
      <c r="T20" s="697"/>
      <c r="U20" s="697"/>
      <c r="V20" s="697"/>
      <c r="W20" s="697"/>
      <c r="X20" s="697"/>
      <c r="Y20" s="697"/>
      <c r="Z20" s="697"/>
      <c r="AA20" s="697"/>
    </row>
    <row r="21" spans="1:27" x14ac:dyDescent="0.25">
      <c r="A21" s="697">
        <v>2.6</v>
      </c>
      <c r="B21" s="728" t="s">
        <v>674</v>
      </c>
      <c r="C21" s="901"/>
      <c r="D21" s="899"/>
      <c r="E21" s="697"/>
      <c r="F21" s="697"/>
      <c r="G21" s="697"/>
      <c r="H21" s="697"/>
      <c r="I21" s="697"/>
      <c r="J21" s="697"/>
      <c r="K21" s="697"/>
      <c r="L21" s="697"/>
      <c r="M21" s="697"/>
      <c r="N21" s="697"/>
      <c r="O21" s="697"/>
      <c r="P21" s="697"/>
      <c r="Q21" s="697"/>
      <c r="R21" s="697"/>
      <c r="S21" s="697"/>
      <c r="T21" s="697"/>
      <c r="U21" s="697"/>
      <c r="V21" s="697"/>
      <c r="W21" s="697"/>
      <c r="X21" s="697"/>
      <c r="Y21" s="697"/>
      <c r="Z21" s="697"/>
      <c r="AA21" s="697"/>
    </row>
    <row r="22" spans="1:27" x14ac:dyDescent="0.25">
      <c r="A22" s="770">
        <v>3</v>
      </c>
      <c r="B22" s="771" t="s">
        <v>675</v>
      </c>
      <c r="C22" s="902">
        <f>C27+C28</f>
        <v>6926674</v>
      </c>
      <c r="D22" s="902">
        <f>D27+D28</f>
        <v>3646680</v>
      </c>
      <c r="E22" s="772"/>
      <c r="F22" s="772"/>
      <c r="G22" s="772"/>
      <c r="H22" s="705"/>
      <c r="I22" s="772"/>
      <c r="J22" s="772"/>
      <c r="K22" s="772"/>
      <c r="L22" s="705"/>
      <c r="M22" s="772"/>
      <c r="N22" s="772"/>
      <c r="O22" s="772"/>
      <c r="P22" s="772"/>
      <c r="Q22" s="772"/>
      <c r="R22" s="772"/>
      <c r="S22" s="772"/>
      <c r="T22" s="705"/>
      <c r="U22" s="772"/>
      <c r="V22" s="772"/>
      <c r="W22" s="772"/>
      <c r="X22" s="772"/>
      <c r="Y22" s="772"/>
      <c r="Z22" s="772"/>
      <c r="AA22" s="772"/>
    </row>
    <row r="23" spans="1:27" x14ac:dyDescent="0.25">
      <c r="A23" s="697">
        <v>3.1</v>
      </c>
      <c r="B23" s="728" t="s">
        <v>669</v>
      </c>
      <c r="C23" s="901"/>
      <c r="D23" s="903"/>
      <c r="E23" s="772"/>
      <c r="F23" s="772"/>
      <c r="G23" s="772"/>
      <c r="H23" s="705"/>
      <c r="I23" s="772"/>
      <c r="J23" s="772"/>
      <c r="K23" s="772"/>
      <c r="L23" s="705"/>
      <c r="M23" s="772"/>
      <c r="N23" s="772"/>
      <c r="O23" s="772"/>
      <c r="P23" s="772"/>
      <c r="Q23" s="772"/>
      <c r="R23" s="772"/>
      <c r="S23" s="772"/>
      <c r="T23" s="705"/>
      <c r="U23" s="772"/>
      <c r="V23" s="772"/>
      <c r="W23" s="772"/>
      <c r="X23" s="772"/>
      <c r="Y23" s="772"/>
      <c r="Z23" s="772"/>
      <c r="AA23" s="772"/>
    </row>
    <row r="24" spans="1:27" x14ac:dyDescent="0.25">
      <c r="A24" s="697">
        <v>3.2</v>
      </c>
      <c r="B24" s="728" t="s">
        <v>670</v>
      </c>
      <c r="C24" s="901"/>
      <c r="D24" s="903"/>
      <c r="E24" s="772"/>
      <c r="F24" s="772"/>
      <c r="G24" s="772"/>
      <c r="H24" s="705"/>
      <c r="I24" s="772"/>
      <c r="J24" s="772"/>
      <c r="K24" s="772"/>
      <c r="L24" s="705"/>
      <c r="M24" s="772"/>
      <c r="N24" s="772"/>
      <c r="O24" s="772"/>
      <c r="P24" s="772"/>
      <c r="Q24" s="772"/>
      <c r="R24" s="772"/>
      <c r="S24" s="772"/>
      <c r="T24" s="705"/>
      <c r="U24" s="772"/>
      <c r="V24" s="772"/>
      <c r="W24" s="772"/>
      <c r="X24" s="772"/>
      <c r="Y24" s="772"/>
      <c r="Z24" s="772"/>
      <c r="AA24" s="772"/>
    </row>
    <row r="25" spans="1:27" x14ac:dyDescent="0.25">
      <c r="A25" s="697">
        <v>3.3</v>
      </c>
      <c r="B25" s="728" t="s">
        <v>671</v>
      </c>
      <c r="C25" s="901"/>
      <c r="D25" s="903"/>
      <c r="E25" s="772"/>
      <c r="F25" s="772"/>
      <c r="G25" s="772"/>
      <c r="H25" s="705"/>
      <c r="I25" s="772"/>
      <c r="J25" s="772"/>
      <c r="K25" s="772"/>
      <c r="L25" s="705"/>
      <c r="M25" s="772"/>
      <c r="N25" s="772"/>
      <c r="O25" s="772"/>
      <c r="P25" s="772"/>
      <c r="Q25" s="772"/>
      <c r="R25" s="772"/>
      <c r="S25" s="772"/>
      <c r="T25" s="705"/>
      <c r="U25" s="772"/>
      <c r="V25" s="772"/>
      <c r="W25" s="772"/>
      <c r="X25" s="772"/>
      <c r="Y25" s="772"/>
      <c r="Z25" s="772"/>
      <c r="AA25" s="772"/>
    </row>
    <row r="26" spans="1:27" x14ac:dyDescent="0.25">
      <c r="A26" s="697">
        <v>3.4</v>
      </c>
      <c r="B26" s="728" t="s">
        <v>672</v>
      </c>
      <c r="C26" s="901"/>
      <c r="D26" s="903"/>
      <c r="E26" s="772"/>
      <c r="F26" s="772"/>
      <c r="G26" s="772"/>
      <c r="H26" s="705"/>
      <c r="I26" s="772"/>
      <c r="J26" s="772"/>
      <c r="K26" s="772"/>
      <c r="L26" s="705"/>
      <c r="M26" s="772"/>
      <c r="N26" s="772"/>
      <c r="O26" s="772"/>
      <c r="P26" s="772"/>
      <c r="Q26" s="772"/>
      <c r="R26" s="772"/>
      <c r="S26" s="772"/>
      <c r="T26" s="705"/>
      <c r="U26" s="772"/>
      <c r="V26" s="772"/>
      <c r="W26" s="772"/>
      <c r="X26" s="772"/>
      <c r="Y26" s="772"/>
      <c r="Z26" s="772"/>
      <c r="AA26" s="772"/>
    </row>
    <row r="27" spans="1:27" x14ac:dyDescent="0.25">
      <c r="A27" s="697">
        <v>3.5</v>
      </c>
      <c r="B27" s="728" t="s">
        <v>673</v>
      </c>
      <c r="C27" s="904">
        <f>D27+H27+L27</f>
        <v>3646680</v>
      </c>
      <c r="D27" s="888">
        <f>'4. Off-balance'!E28</f>
        <v>3646680</v>
      </c>
      <c r="E27" s="772"/>
      <c r="F27" s="772"/>
      <c r="G27" s="772"/>
      <c r="H27" s="705"/>
      <c r="I27" s="772"/>
      <c r="J27" s="772"/>
      <c r="K27" s="772"/>
      <c r="L27" s="705"/>
      <c r="M27" s="772"/>
      <c r="N27" s="772"/>
      <c r="O27" s="772"/>
      <c r="P27" s="772"/>
      <c r="Q27" s="772"/>
      <c r="R27" s="772"/>
      <c r="S27" s="772"/>
      <c r="T27" s="705"/>
      <c r="U27" s="772"/>
      <c r="V27" s="772"/>
      <c r="W27" s="772"/>
      <c r="X27" s="772"/>
      <c r="Y27" s="772"/>
      <c r="Z27" s="772"/>
      <c r="AA27" s="772"/>
    </row>
    <row r="28" spans="1:27" x14ac:dyDescent="0.25">
      <c r="A28" s="697">
        <v>3.6</v>
      </c>
      <c r="B28" s="728" t="s">
        <v>674</v>
      </c>
      <c r="C28" s="904">
        <f>'4. Off-balance'!E27</f>
        <v>3279994</v>
      </c>
      <c r="D28" s="901"/>
      <c r="E28" s="772"/>
      <c r="F28" s="772"/>
      <c r="G28" s="772"/>
      <c r="H28" s="705"/>
      <c r="I28" s="772"/>
      <c r="J28" s="772"/>
      <c r="K28" s="772"/>
      <c r="L28" s="705"/>
      <c r="M28" s="772"/>
      <c r="N28" s="772"/>
      <c r="O28" s="772"/>
      <c r="P28" s="772"/>
      <c r="Q28" s="772"/>
      <c r="R28" s="772"/>
      <c r="S28" s="772"/>
      <c r="T28" s="705"/>
      <c r="U28" s="772"/>
      <c r="V28" s="772"/>
      <c r="W28" s="772"/>
      <c r="X28" s="772"/>
      <c r="Y28" s="772"/>
      <c r="Z28" s="772"/>
      <c r="AA28" s="772"/>
    </row>
    <row r="30" spans="1:27" s="893" customFormat="1" x14ac:dyDescent="0.25">
      <c r="B30" s="896"/>
      <c r="C30" s="877"/>
      <c r="D30" s="877"/>
      <c r="H30" s="877"/>
      <c r="L30" s="877"/>
    </row>
    <row r="31" spans="1:27" s="893" customFormat="1" x14ac:dyDescent="0.25">
      <c r="B31" s="896"/>
      <c r="C31" s="877"/>
      <c r="D31" s="877"/>
      <c r="E31" s="877"/>
      <c r="F31" s="877"/>
      <c r="G31" s="877"/>
      <c r="H31" s="877"/>
      <c r="I31" s="877"/>
      <c r="J31" s="877"/>
      <c r="K31" s="877"/>
      <c r="L31" s="877"/>
      <c r="M31" s="877"/>
      <c r="N31" s="877"/>
      <c r="O31" s="877"/>
      <c r="P31" s="877"/>
      <c r="Q31" s="877"/>
      <c r="R31" s="877"/>
      <c r="S31" s="877"/>
    </row>
    <row r="32" spans="1:27" s="893" customFormat="1" ht="13.5" x14ac:dyDescent="0.25">
      <c r="B32" s="897"/>
      <c r="D32" s="877"/>
    </row>
    <row r="33" spans="2:27" s="893" customFormat="1" x14ac:dyDescent="0.25">
      <c r="B33" s="896"/>
    </row>
    <row r="34" spans="2:27" s="893" customFormat="1" x14ac:dyDescent="0.25">
      <c r="F34" s="882"/>
    </row>
    <row r="35" spans="2:27" s="893" customFormat="1" x14ac:dyDescent="0.25">
      <c r="E35" s="895"/>
      <c r="F35" s="895"/>
      <c r="G35" s="895"/>
      <c r="H35" s="895"/>
      <c r="I35" s="895"/>
      <c r="J35" s="895"/>
      <c r="K35" s="895"/>
      <c r="L35" s="895"/>
      <c r="M35" s="895"/>
      <c r="N35" s="895"/>
      <c r="O35" s="895"/>
      <c r="P35" s="895"/>
      <c r="Q35" s="895"/>
      <c r="R35" s="895"/>
      <c r="S35" s="895"/>
      <c r="T35" s="895"/>
      <c r="U35" s="895"/>
      <c r="V35" s="895"/>
      <c r="W35" s="895"/>
      <c r="X35" s="895"/>
      <c r="Y35" s="895"/>
      <c r="Z35" s="895"/>
      <c r="AA35" s="895"/>
    </row>
    <row r="36" spans="2:27" s="893" customFormat="1" x14ac:dyDescent="0.25"/>
    <row r="37" spans="2:27" s="882" customFormat="1" x14ac:dyDescent="0.25">
      <c r="E37" s="877"/>
      <c r="I37" s="877"/>
      <c r="J37" s="877"/>
      <c r="K37" s="877"/>
      <c r="O37" s="877"/>
    </row>
    <row r="38" spans="2:27" s="893" customFormat="1" x14ac:dyDescent="0.25">
      <c r="I38" s="895"/>
      <c r="J38" s="895"/>
    </row>
    <row r="39" spans="2:27" s="893" customFormat="1" x14ac:dyDescent="0.25">
      <c r="E39" s="895"/>
      <c r="F39" s="895"/>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87F0-8942-4C81-B359-3399CE891196}">
  <dimension ref="A1:AB28"/>
  <sheetViews>
    <sheetView showGridLines="0" zoomScaleNormal="100" workbookViewId="0">
      <selection activeCell="C8" sqref="C8:AA22"/>
    </sheetView>
  </sheetViews>
  <sheetFormatPr defaultColWidth="9.140625" defaultRowHeight="12.75" x14ac:dyDescent="0.25"/>
  <cols>
    <col min="1" max="1" width="11.85546875" style="686" bestFit="1" customWidth="1"/>
    <col min="2" max="2" width="90.28515625" style="686" bestFit="1" customWidth="1"/>
    <col min="3" max="3" width="20.140625" style="686" customWidth="1"/>
    <col min="4" max="4" width="17" style="686" customWidth="1"/>
    <col min="5" max="5" width="15" style="686" customWidth="1"/>
    <col min="6" max="6" width="17.140625" style="686" customWidth="1"/>
    <col min="7" max="7" width="15.140625" style="686" customWidth="1"/>
    <col min="8" max="8" width="11.7109375" style="686" customWidth="1"/>
    <col min="9" max="9" width="15" style="686" customWidth="1"/>
    <col min="10" max="10" width="14.85546875" style="686" customWidth="1"/>
    <col min="11" max="11" width="14.5703125" style="686" customWidth="1"/>
    <col min="12" max="12" width="13" style="686" customWidth="1"/>
    <col min="13" max="13" width="16.7109375" style="686" customWidth="1"/>
    <col min="14" max="14" width="19.28515625" style="686" customWidth="1"/>
    <col min="15" max="15" width="20.7109375" style="686" customWidth="1"/>
    <col min="16" max="16" width="20.140625" style="686" customWidth="1"/>
    <col min="17" max="17" width="18.85546875" style="686" customWidth="1"/>
    <col min="18" max="18" width="22.28515625" style="686" customWidth="1"/>
    <col min="19" max="19" width="18.85546875" style="686" customWidth="1"/>
    <col min="20" max="20" width="14.140625" style="686" customWidth="1"/>
    <col min="21" max="22" width="19.140625" style="686" customWidth="1"/>
    <col min="23" max="27" width="17.85546875" style="686" customWidth="1"/>
    <col min="28" max="28" width="12.140625" style="893" bestFit="1" customWidth="1"/>
    <col min="29" max="16384" width="9.140625" style="686"/>
  </cols>
  <sheetData>
    <row r="1" spans="1:28" ht="13.5" x14ac:dyDescent="0.25">
      <c r="A1" s="655" t="s">
        <v>41</v>
      </c>
      <c r="B1" s="24" t="str">
        <f>Info!C2</f>
        <v>სს სილქ ბანკი</v>
      </c>
    </row>
    <row r="2" spans="1:28" x14ac:dyDescent="0.25">
      <c r="A2" s="655" t="s">
        <v>42</v>
      </c>
      <c r="B2" s="657">
        <f>'1. key ratios'!B2</f>
        <v>45382</v>
      </c>
    </row>
    <row r="3" spans="1:28" x14ac:dyDescent="0.25">
      <c r="A3" s="658" t="s">
        <v>676</v>
      </c>
      <c r="C3" s="773"/>
    </row>
    <row r="4" spans="1:28" ht="40.5" customHeight="1" thickBot="1" x14ac:dyDescent="0.3">
      <c r="A4" s="658"/>
      <c r="B4" s="773"/>
      <c r="C4" s="773"/>
    </row>
    <row r="5" spans="1:28" ht="13.5" customHeight="1" x14ac:dyDescent="0.25">
      <c r="A5" s="774" t="s">
        <v>677</v>
      </c>
      <c r="B5" s="775"/>
      <c r="C5" s="776" t="s">
        <v>678</v>
      </c>
      <c r="D5" s="777"/>
      <c r="E5" s="777"/>
      <c r="F5" s="777"/>
      <c r="G5" s="777"/>
      <c r="H5" s="777"/>
      <c r="I5" s="777"/>
      <c r="J5" s="777"/>
      <c r="K5" s="777"/>
      <c r="L5" s="777"/>
      <c r="M5" s="777"/>
      <c r="N5" s="777"/>
      <c r="O5" s="777"/>
      <c r="P5" s="777"/>
      <c r="Q5" s="777"/>
      <c r="R5" s="777"/>
      <c r="S5" s="777"/>
      <c r="T5" s="777"/>
      <c r="U5" s="777"/>
      <c r="V5" s="777"/>
      <c r="W5" s="777"/>
      <c r="X5" s="777"/>
      <c r="Y5" s="777"/>
      <c r="Z5" s="777"/>
      <c r="AA5" s="778"/>
    </row>
    <row r="6" spans="1:28" ht="12" customHeight="1" x14ac:dyDescent="0.25">
      <c r="A6" s="779"/>
      <c r="B6" s="780"/>
      <c r="C6" s="781" t="s">
        <v>96</v>
      </c>
      <c r="D6" s="690" t="s">
        <v>657</v>
      </c>
      <c r="E6" s="690"/>
      <c r="F6" s="690"/>
      <c r="G6" s="690"/>
      <c r="H6" s="757" t="s">
        <v>658</v>
      </c>
      <c r="I6" s="758"/>
      <c r="J6" s="758"/>
      <c r="K6" s="758"/>
      <c r="L6" s="762"/>
      <c r="M6" s="717" t="s">
        <v>659</v>
      </c>
      <c r="N6" s="717"/>
      <c r="O6" s="717"/>
      <c r="P6" s="717"/>
      <c r="Q6" s="717"/>
      <c r="R6" s="717"/>
      <c r="S6" s="689"/>
      <c r="T6" s="762"/>
      <c r="U6" s="717" t="s">
        <v>660</v>
      </c>
      <c r="V6" s="717"/>
      <c r="W6" s="717"/>
      <c r="X6" s="717"/>
      <c r="Y6" s="717"/>
      <c r="Z6" s="717"/>
      <c r="AA6" s="782"/>
    </row>
    <row r="7" spans="1:28" ht="38.25" x14ac:dyDescent="0.25">
      <c r="A7" s="783"/>
      <c r="B7" s="784"/>
      <c r="C7" s="785"/>
      <c r="D7" s="766"/>
      <c r="E7" s="691" t="s">
        <v>661</v>
      </c>
      <c r="F7" s="691" t="s">
        <v>662</v>
      </c>
      <c r="G7" s="691" t="s">
        <v>663</v>
      </c>
      <c r="H7" s="687"/>
      <c r="I7" s="691" t="s">
        <v>661</v>
      </c>
      <c r="J7" s="691" t="s">
        <v>662</v>
      </c>
      <c r="K7" s="691" t="s">
        <v>663</v>
      </c>
      <c r="L7" s="769"/>
      <c r="M7" s="691" t="s">
        <v>661</v>
      </c>
      <c r="N7" s="691" t="s">
        <v>679</v>
      </c>
      <c r="O7" s="691" t="s">
        <v>680</v>
      </c>
      <c r="P7" s="691" t="s">
        <v>681</v>
      </c>
      <c r="Q7" s="691" t="s">
        <v>682</v>
      </c>
      <c r="R7" s="691" t="s">
        <v>683</v>
      </c>
      <c r="S7" s="691" t="s">
        <v>668</v>
      </c>
      <c r="T7" s="769"/>
      <c r="U7" s="691" t="s">
        <v>661</v>
      </c>
      <c r="V7" s="691" t="s">
        <v>679</v>
      </c>
      <c r="W7" s="691" t="s">
        <v>680</v>
      </c>
      <c r="X7" s="691" t="s">
        <v>681</v>
      </c>
      <c r="Y7" s="691" t="s">
        <v>682</v>
      </c>
      <c r="Z7" s="691" t="s">
        <v>683</v>
      </c>
      <c r="AA7" s="691" t="s">
        <v>668</v>
      </c>
    </row>
    <row r="8" spans="1:28" s="893" customFormat="1" x14ac:dyDescent="0.25">
      <c r="A8" s="905">
        <v>1</v>
      </c>
      <c r="B8" s="906" t="s">
        <v>624</v>
      </c>
      <c r="C8" s="907">
        <f>'22. Quality'!C8</f>
        <v>71106091.565845177</v>
      </c>
      <c r="D8" s="907">
        <f>'22. Quality'!D8</f>
        <v>70149514.568711162</v>
      </c>
      <c r="E8" s="907">
        <f>'22. Quality'!E8</f>
        <v>490653.43931533903</v>
      </c>
      <c r="F8" s="907">
        <f>'22. Quality'!F8</f>
        <v>0</v>
      </c>
      <c r="G8" s="907">
        <f>'22. Quality'!G8</f>
        <v>0</v>
      </c>
      <c r="H8" s="907">
        <f>'22. Quality'!H8</f>
        <v>375447.00300434162</v>
      </c>
      <c r="I8" s="907">
        <f>'22. Quality'!I8</f>
        <v>4724.8234383954159</v>
      </c>
      <c r="J8" s="907">
        <f>'22. Quality'!J8</f>
        <v>40945.67420237037</v>
      </c>
      <c r="K8" s="907">
        <f>'22. Quality'!K8</f>
        <v>0</v>
      </c>
      <c r="L8" s="907">
        <f>'22. Quality'!L8</f>
        <v>581129.99412966787</v>
      </c>
      <c r="M8" s="907">
        <f>'22. Quality'!M8</f>
        <v>8540.61</v>
      </c>
      <c r="N8" s="907">
        <f>'22. Quality'!N8</f>
        <v>0</v>
      </c>
      <c r="O8" s="907">
        <f>'22. Quality'!O8</f>
        <v>56423.05447867672</v>
      </c>
      <c r="P8" s="907">
        <f>'22. Quality'!P8</f>
        <v>133466.3396509912</v>
      </c>
      <c r="Q8" s="907">
        <f>'22. Quality'!Q8</f>
        <v>0</v>
      </c>
      <c r="R8" s="907">
        <f>'22. Quality'!R8</f>
        <v>144338.21</v>
      </c>
      <c r="S8" s="907">
        <f>'22. Quality'!S8</f>
        <v>0</v>
      </c>
      <c r="T8" s="899"/>
      <c r="U8" s="899"/>
      <c r="V8" s="899"/>
      <c r="W8" s="899"/>
      <c r="X8" s="899"/>
      <c r="Y8" s="899"/>
      <c r="Z8" s="899"/>
      <c r="AA8" s="908"/>
      <c r="AB8" s="877"/>
    </row>
    <row r="9" spans="1:28" s="893" customFormat="1" x14ac:dyDescent="0.25">
      <c r="A9" s="909">
        <v>1.1000000000000001</v>
      </c>
      <c r="B9" s="910" t="s">
        <v>684</v>
      </c>
      <c r="C9" s="911">
        <v>53428421.347382374</v>
      </c>
      <c r="D9" s="696">
        <v>52932752.558150195</v>
      </c>
      <c r="E9" s="696">
        <v>458858.75598469935</v>
      </c>
      <c r="F9" s="696">
        <v>0</v>
      </c>
      <c r="G9" s="696">
        <v>0</v>
      </c>
      <c r="H9" s="696">
        <v>213908.14923218897</v>
      </c>
      <c r="I9" s="696">
        <v>0</v>
      </c>
      <c r="J9" s="696">
        <v>3976.58</v>
      </c>
      <c r="K9" s="696">
        <v>0</v>
      </c>
      <c r="L9" s="696">
        <v>281760.64000000001</v>
      </c>
      <c r="M9" s="696">
        <v>0</v>
      </c>
      <c r="N9" s="696">
        <v>0</v>
      </c>
      <c r="O9" s="696">
        <v>0</v>
      </c>
      <c r="P9" s="696">
        <v>66673.87</v>
      </c>
      <c r="Q9" s="696">
        <v>0</v>
      </c>
      <c r="R9" s="696">
        <v>144338.21</v>
      </c>
      <c r="S9" s="696">
        <v>0</v>
      </c>
      <c r="T9" s="899"/>
      <c r="U9" s="899"/>
      <c r="V9" s="899"/>
      <c r="W9" s="899"/>
      <c r="X9" s="899"/>
      <c r="Y9" s="899"/>
      <c r="Z9" s="899"/>
      <c r="AA9" s="908"/>
      <c r="AB9" s="877"/>
    </row>
    <row r="10" spans="1:28" s="893" customFormat="1" x14ac:dyDescent="0.25">
      <c r="A10" s="912" t="s">
        <v>241</v>
      </c>
      <c r="B10" s="913" t="s">
        <v>685</v>
      </c>
      <c r="C10" s="914">
        <v>44981660.725767501</v>
      </c>
      <c r="D10" s="696">
        <v>44504412.58653532</v>
      </c>
      <c r="E10" s="696">
        <v>174505.44894036587</v>
      </c>
      <c r="F10" s="696">
        <v>0</v>
      </c>
      <c r="G10" s="696">
        <v>0</v>
      </c>
      <c r="H10" s="696">
        <v>195487.49923218897</v>
      </c>
      <c r="I10" s="696">
        <v>0</v>
      </c>
      <c r="J10" s="696">
        <v>0</v>
      </c>
      <c r="K10" s="696">
        <v>0</v>
      </c>
      <c r="L10" s="696">
        <v>281760.64000000001</v>
      </c>
      <c r="M10" s="696">
        <v>0</v>
      </c>
      <c r="N10" s="696">
        <v>0</v>
      </c>
      <c r="O10" s="696">
        <v>0</v>
      </c>
      <c r="P10" s="696">
        <v>66673.87</v>
      </c>
      <c r="Q10" s="696">
        <v>0</v>
      </c>
      <c r="R10" s="696">
        <v>144338.21</v>
      </c>
      <c r="S10" s="696">
        <v>0</v>
      </c>
      <c r="T10" s="899"/>
      <c r="U10" s="899"/>
      <c r="V10" s="899"/>
      <c r="W10" s="899"/>
      <c r="X10" s="899"/>
      <c r="Y10" s="899"/>
      <c r="Z10" s="899"/>
      <c r="AA10" s="908"/>
      <c r="AB10" s="877"/>
    </row>
    <row r="11" spans="1:28" s="893" customFormat="1" x14ac:dyDescent="0.25">
      <c r="A11" s="915" t="s">
        <v>686</v>
      </c>
      <c r="B11" s="916" t="s">
        <v>687</v>
      </c>
      <c r="C11" s="917">
        <v>26778159.174978565</v>
      </c>
      <c r="D11" s="696">
        <v>26300911.035746377</v>
      </c>
      <c r="E11" s="696">
        <v>174505.44894036587</v>
      </c>
      <c r="F11" s="696">
        <v>0</v>
      </c>
      <c r="G11" s="696">
        <v>0</v>
      </c>
      <c r="H11" s="696">
        <v>195487.49923218897</v>
      </c>
      <c r="I11" s="696">
        <v>0</v>
      </c>
      <c r="J11" s="696">
        <v>0</v>
      </c>
      <c r="K11" s="696">
        <v>0</v>
      </c>
      <c r="L11" s="696">
        <v>281760.64000000001</v>
      </c>
      <c r="M11" s="696">
        <v>0</v>
      </c>
      <c r="N11" s="696">
        <v>0</v>
      </c>
      <c r="O11" s="696">
        <v>0</v>
      </c>
      <c r="P11" s="696">
        <v>66673.87</v>
      </c>
      <c r="Q11" s="696">
        <v>0</v>
      </c>
      <c r="R11" s="696">
        <v>144338.21</v>
      </c>
      <c r="S11" s="696">
        <v>0</v>
      </c>
      <c r="T11" s="899"/>
      <c r="U11" s="899"/>
      <c r="V11" s="899"/>
      <c r="W11" s="899"/>
      <c r="X11" s="899"/>
      <c r="Y11" s="899"/>
      <c r="Z11" s="899"/>
      <c r="AA11" s="908"/>
      <c r="AB11" s="877"/>
    </row>
    <row r="12" spans="1:28" s="893" customFormat="1" x14ac:dyDescent="0.25">
      <c r="A12" s="915" t="s">
        <v>688</v>
      </c>
      <c r="B12" s="916" t="s">
        <v>689</v>
      </c>
      <c r="C12" s="917">
        <v>8583537.5158181991</v>
      </c>
      <c r="D12" s="696">
        <v>8583537.5158181991</v>
      </c>
      <c r="E12" s="696">
        <v>0</v>
      </c>
      <c r="F12" s="696">
        <v>0</v>
      </c>
      <c r="G12" s="696">
        <v>0</v>
      </c>
      <c r="H12" s="696">
        <v>0</v>
      </c>
      <c r="I12" s="696">
        <v>0</v>
      </c>
      <c r="J12" s="696">
        <v>0</v>
      </c>
      <c r="K12" s="696">
        <v>0</v>
      </c>
      <c r="L12" s="696">
        <v>0</v>
      </c>
      <c r="M12" s="696">
        <v>0</v>
      </c>
      <c r="N12" s="696">
        <v>0</v>
      </c>
      <c r="O12" s="696">
        <v>0</v>
      </c>
      <c r="P12" s="696">
        <v>0</v>
      </c>
      <c r="Q12" s="696">
        <v>0</v>
      </c>
      <c r="R12" s="696">
        <v>0</v>
      </c>
      <c r="S12" s="696">
        <v>0</v>
      </c>
      <c r="T12" s="899"/>
      <c r="U12" s="899"/>
      <c r="V12" s="899"/>
      <c r="W12" s="899"/>
      <c r="X12" s="899"/>
      <c r="Y12" s="899"/>
      <c r="Z12" s="899"/>
      <c r="AA12" s="908"/>
      <c r="AB12" s="877"/>
    </row>
    <row r="13" spans="1:28" s="893" customFormat="1" x14ac:dyDescent="0.25">
      <c r="A13" s="915" t="s">
        <v>690</v>
      </c>
      <c r="B13" s="916" t="s">
        <v>691</v>
      </c>
      <c r="C13" s="917">
        <v>2025449.2347457118</v>
      </c>
      <c r="D13" s="696">
        <v>2025449.2347457118</v>
      </c>
      <c r="E13" s="696">
        <v>0</v>
      </c>
      <c r="F13" s="696">
        <v>0</v>
      </c>
      <c r="G13" s="696">
        <v>0</v>
      </c>
      <c r="H13" s="696">
        <v>0</v>
      </c>
      <c r="I13" s="696">
        <v>0</v>
      </c>
      <c r="J13" s="696">
        <v>0</v>
      </c>
      <c r="K13" s="696">
        <v>0</v>
      </c>
      <c r="L13" s="696">
        <v>0</v>
      </c>
      <c r="M13" s="696">
        <v>0</v>
      </c>
      <c r="N13" s="696">
        <v>0</v>
      </c>
      <c r="O13" s="696">
        <v>0</v>
      </c>
      <c r="P13" s="696">
        <v>0</v>
      </c>
      <c r="Q13" s="696">
        <v>0</v>
      </c>
      <c r="R13" s="696">
        <v>0</v>
      </c>
      <c r="S13" s="696">
        <v>0</v>
      </c>
      <c r="T13" s="899"/>
      <c r="U13" s="899"/>
      <c r="V13" s="899"/>
      <c r="W13" s="899"/>
      <c r="X13" s="899"/>
      <c r="Y13" s="899"/>
      <c r="Z13" s="899"/>
      <c r="AA13" s="908"/>
      <c r="AB13" s="877"/>
    </row>
    <row r="14" spans="1:28" s="893" customFormat="1" x14ac:dyDescent="0.25">
      <c r="A14" s="915" t="s">
        <v>692</v>
      </c>
      <c r="B14" s="916" t="s">
        <v>693</v>
      </c>
      <c r="C14" s="917">
        <v>7594514.8002250288</v>
      </c>
      <c r="D14" s="696">
        <v>7594514.8002250288</v>
      </c>
      <c r="E14" s="696">
        <v>0</v>
      </c>
      <c r="F14" s="696">
        <v>0</v>
      </c>
      <c r="G14" s="696">
        <v>0</v>
      </c>
      <c r="H14" s="696">
        <v>0</v>
      </c>
      <c r="I14" s="696">
        <v>0</v>
      </c>
      <c r="J14" s="696">
        <v>0</v>
      </c>
      <c r="K14" s="696">
        <v>0</v>
      </c>
      <c r="L14" s="696">
        <v>0</v>
      </c>
      <c r="M14" s="696">
        <v>0</v>
      </c>
      <c r="N14" s="696">
        <v>0</v>
      </c>
      <c r="O14" s="696">
        <v>0</v>
      </c>
      <c r="P14" s="696">
        <v>0</v>
      </c>
      <c r="Q14" s="696">
        <v>0</v>
      </c>
      <c r="R14" s="696">
        <v>0</v>
      </c>
      <c r="S14" s="696">
        <v>0</v>
      </c>
      <c r="T14" s="899"/>
      <c r="U14" s="899"/>
      <c r="V14" s="899"/>
      <c r="W14" s="899"/>
      <c r="X14" s="899"/>
      <c r="Y14" s="899"/>
      <c r="Z14" s="899"/>
      <c r="AA14" s="908"/>
      <c r="AB14" s="877"/>
    </row>
    <row r="15" spans="1:28" s="893" customFormat="1" x14ac:dyDescent="0.25">
      <c r="A15" s="918">
        <v>1.2</v>
      </c>
      <c r="B15" s="919" t="s">
        <v>694</v>
      </c>
      <c r="C15" s="920">
        <v>1134450.0781222102</v>
      </c>
      <c r="D15" s="696">
        <v>928091.60831713083</v>
      </c>
      <c r="E15" s="696">
        <v>33235.374386715564</v>
      </c>
      <c r="F15" s="696">
        <v>0</v>
      </c>
      <c r="G15" s="696">
        <v>0</v>
      </c>
      <c r="H15" s="696">
        <v>45031.498147904327</v>
      </c>
      <c r="I15" s="696">
        <v>0</v>
      </c>
      <c r="J15" s="696">
        <v>159.06319999999999</v>
      </c>
      <c r="K15" s="696">
        <v>0</v>
      </c>
      <c r="L15" s="696">
        <v>161326.97165717446</v>
      </c>
      <c r="M15" s="696">
        <v>0</v>
      </c>
      <c r="N15" s="696">
        <v>0</v>
      </c>
      <c r="O15" s="696">
        <v>0</v>
      </c>
      <c r="P15" s="696">
        <v>42161.443548840376</v>
      </c>
      <c r="Q15" s="696">
        <v>0</v>
      </c>
      <c r="R15" s="696">
        <v>84638.210696971815</v>
      </c>
      <c r="S15" s="696">
        <v>0</v>
      </c>
      <c r="T15" s="899"/>
      <c r="U15" s="899"/>
      <c r="V15" s="899"/>
      <c r="W15" s="899"/>
      <c r="X15" s="899"/>
      <c r="Y15" s="899"/>
      <c r="Z15" s="899"/>
      <c r="AA15" s="908"/>
      <c r="AB15" s="877"/>
    </row>
    <row r="16" spans="1:28" x14ac:dyDescent="0.25">
      <c r="A16" s="786">
        <v>1.3</v>
      </c>
      <c r="B16" s="787" t="s">
        <v>695</v>
      </c>
      <c r="C16" s="788">
        <f>C17+C19</f>
        <v>855866950.43232596</v>
      </c>
      <c r="D16" s="788">
        <f t="shared" ref="D16:S16" si="0">D17+D19</f>
        <v>849338394.77232599</v>
      </c>
      <c r="E16" s="788">
        <f t="shared" si="0"/>
        <v>917749.64999999967</v>
      </c>
      <c r="F16" s="788">
        <f t="shared" si="0"/>
        <v>0</v>
      </c>
      <c r="G16" s="788">
        <f t="shared" si="0"/>
        <v>0</v>
      </c>
      <c r="H16" s="788">
        <f t="shared" si="0"/>
        <v>348232.76</v>
      </c>
      <c r="I16" s="788">
        <f t="shared" si="0"/>
        <v>0</v>
      </c>
      <c r="J16" s="788">
        <f t="shared" si="0"/>
        <v>10781.2</v>
      </c>
      <c r="K16" s="788">
        <f t="shared" si="0"/>
        <v>0</v>
      </c>
      <c r="L16" s="788">
        <f t="shared" si="0"/>
        <v>6180322.8999999994</v>
      </c>
      <c r="M16" s="788">
        <f t="shared" si="0"/>
        <v>0</v>
      </c>
      <c r="N16" s="788">
        <f t="shared" si="0"/>
        <v>0</v>
      </c>
      <c r="O16" s="788">
        <f t="shared" si="0"/>
        <v>0</v>
      </c>
      <c r="P16" s="788">
        <f t="shared" si="0"/>
        <v>5821848</v>
      </c>
      <c r="Q16" s="788">
        <f t="shared" si="0"/>
        <v>0</v>
      </c>
      <c r="R16" s="788">
        <f t="shared" si="0"/>
        <v>242577</v>
      </c>
      <c r="S16" s="788">
        <f t="shared" si="0"/>
        <v>0</v>
      </c>
      <c r="T16" s="789"/>
      <c r="U16" s="789"/>
      <c r="V16" s="789"/>
      <c r="W16" s="789"/>
      <c r="X16" s="789"/>
      <c r="Y16" s="789"/>
      <c r="Z16" s="789"/>
      <c r="AA16" s="790"/>
      <c r="AB16" s="877"/>
    </row>
    <row r="17" spans="1:28" ht="25.5" x14ac:dyDescent="0.25">
      <c r="A17" s="791" t="s">
        <v>696</v>
      </c>
      <c r="B17" s="921" t="s">
        <v>697</v>
      </c>
      <c r="C17" s="792">
        <f>D17+H17+L17</f>
        <v>53382404.229338251</v>
      </c>
      <c r="D17" s="695">
        <v>52889859.250106059</v>
      </c>
      <c r="E17" s="695">
        <v>457383.02899221814</v>
      </c>
      <c r="F17" s="695">
        <v>0</v>
      </c>
      <c r="G17" s="695">
        <v>0</v>
      </c>
      <c r="H17" s="695">
        <v>210784.33923218897</v>
      </c>
      <c r="I17" s="695">
        <v>0</v>
      </c>
      <c r="J17" s="695">
        <v>3976.58</v>
      </c>
      <c r="K17" s="695">
        <v>0</v>
      </c>
      <c r="L17" s="695">
        <v>281760.64000000001</v>
      </c>
      <c r="M17" s="695">
        <v>0</v>
      </c>
      <c r="N17" s="695">
        <v>0</v>
      </c>
      <c r="O17" s="695">
        <v>0</v>
      </c>
      <c r="P17" s="695">
        <v>66673.87</v>
      </c>
      <c r="Q17" s="695">
        <v>0</v>
      </c>
      <c r="R17" s="695">
        <v>144338.21</v>
      </c>
      <c r="S17" s="695">
        <v>0</v>
      </c>
      <c r="T17" s="697"/>
      <c r="U17" s="697"/>
      <c r="V17" s="697"/>
      <c r="W17" s="697"/>
      <c r="X17" s="697"/>
      <c r="Y17" s="697"/>
      <c r="Z17" s="697"/>
      <c r="AA17" s="793"/>
      <c r="AB17" s="877"/>
    </row>
    <row r="18" spans="1:28" ht="25.5" x14ac:dyDescent="0.25">
      <c r="A18" s="794" t="s">
        <v>698</v>
      </c>
      <c r="B18" s="922" t="s">
        <v>699</v>
      </c>
      <c r="C18" s="792">
        <f>D18+H18+L18</f>
        <v>41640074.934282407</v>
      </c>
      <c r="D18" s="695">
        <v>41162826.795050219</v>
      </c>
      <c r="E18" s="695">
        <v>174505.44894036587</v>
      </c>
      <c r="F18" s="695">
        <v>0</v>
      </c>
      <c r="G18" s="695">
        <v>0</v>
      </c>
      <c r="H18" s="695">
        <v>195487.49923218897</v>
      </c>
      <c r="I18" s="695">
        <v>0</v>
      </c>
      <c r="J18" s="695">
        <v>0</v>
      </c>
      <c r="K18" s="695">
        <v>0</v>
      </c>
      <c r="L18" s="695">
        <v>281760.64000000001</v>
      </c>
      <c r="M18" s="695">
        <v>0</v>
      </c>
      <c r="N18" s="695">
        <v>0</v>
      </c>
      <c r="O18" s="695">
        <v>0</v>
      </c>
      <c r="P18" s="695">
        <v>66673.87</v>
      </c>
      <c r="Q18" s="695">
        <v>0</v>
      </c>
      <c r="R18" s="695">
        <v>144338.21</v>
      </c>
      <c r="S18" s="695">
        <v>0</v>
      </c>
      <c r="T18" s="697"/>
      <c r="U18" s="697"/>
      <c r="V18" s="697"/>
      <c r="W18" s="697"/>
      <c r="X18" s="697"/>
      <c r="Y18" s="697"/>
      <c r="Z18" s="697"/>
      <c r="AA18" s="793"/>
      <c r="AB18" s="877"/>
    </row>
    <row r="19" spans="1:28" x14ac:dyDescent="0.25">
      <c r="A19" s="791" t="s">
        <v>700</v>
      </c>
      <c r="B19" s="795" t="s">
        <v>701</v>
      </c>
      <c r="C19" s="792">
        <f>D19+H19+L19</f>
        <v>802484546.20298767</v>
      </c>
      <c r="D19" s="695">
        <v>796448535.5222199</v>
      </c>
      <c r="E19" s="695">
        <v>460366.62100778159</v>
      </c>
      <c r="F19" s="695">
        <v>0</v>
      </c>
      <c r="G19" s="695">
        <v>0</v>
      </c>
      <c r="H19" s="695">
        <v>137448.42076781104</v>
      </c>
      <c r="I19" s="695">
        <v>0</v>
      </c>
      <c r="J19" s="695">
        <v>6804.6200000000008</v>
      </c>
      <c r="K19" s="695">
        <v>0</v>
      </c>
      <c r="L19" s="695">
        <v>5898562.2599999998</v>
      </c>
      <c r="M19" s="695">
        <v>0</v>
      </c>
      <c r="N19" s="695">
        <v>0</v>
      </c>
      <c r="O19" s="695">
        <v>0</v>
      </c>
      <c r="P19" s="695">
        <v>5755174.1299999999</v>
      </c>
      <c r="Q19" s="695">
        <v>0</v>
      </c>
      <c r="R19" s="695">
        <v>98238.790000000008</v>
      </c>
      <c r="S19" s="695">
        <v>0</v>
      </c>
      <c r="T19" s="697"/>
      <c r="U19" s="697"/>
      <c r="V19" s="697"/>
      <c r="W19" s="697"/>
      <c r="X19" s="697"/>
      <c r="Y19" s="697"/>
      <c r="Z19" s="697"/>
      <c r="AA19" s="793"/>
      <c r="AB19" s="877"/>
    </row>
    <row r="20" spans="1:28" x14ac:dyDescent="0.25">
      <c r="A20" s="794" t="s">
        <v>702</v>
      </c>
      <c r="B20" s="796" t="s">
        <v>703</v>
      </c>
      <c r="C20" s="792">
        <f>D20+H20+L20</f>
        <v>37596114.149629287</v>
      </c>
      <c r="D20" s="695">
        <v>36957508.08886148</v>
      </c>
      <c r="E20" s="695">
        <v>299867.35105963412</v>
      </c>
      <c r="F20" s="695">
        <v>0</v>
      </c>
      <c r="G20" s="695">
        <v>0</v>
      </c>
      <c r="H20" s="695">
        <v>130643.80076781104</v>
      </c>
      <c r="I20" s="695">
        <v>0</v>
      </c>
      <c r="J20" s="695">
        <v>0</v>
      </c>
      <c r="K20" s="695">
        <v>0</v>
      </c>
      <c r="L20" s="695">
        <v>507962.26</v>
      </c>
      <c r="M20" s="695">
        <v>0</v>
      </c>
      <c r="N20" s="695">
        <v>0</v>
      </c>
      <c r="O20" s="695">
        <v>0</v>
      </c>
      <c r="P20" s="695">
        <v>364574.13</v>
      </c>
      <c r="Q20" s="695">
        <v>0</v>
      </c>
      <c r="R20" s="695">
        <v>98238.790000000008</v>
      </c>
      <c r="S20" s="695">
        <v>0</v>
      </c>
      <c r="T20" s="697"/>
      <c r="U20" s="697"/>
      <c r="V20" s="697"/>
      <c r="W20" s="697"/>
      <c r="X20" s="697"/>
      <c r="Y20" s="697"/>
      <c r="Z20" s="697"/>
      <c r="AA20" s="793"/>
      <c r="AB20" s="877"/>
    </row>
    <row r="21" spans="1:28" x14ac:dyDescent="0.25">
      <c r="A21" s="797">
        <v>1.4</v>
      </c>
      <c r="B21" s="798" t="s">
        <v>704</v>
      </c>
      <c r="C21" s="799"/>
      <c r="D21" s="695"/>
      <c r="E21" s="695"/>
      <c r="F21" s="695"/>
      <c r="G21" s="695"/>
      <c r="H21" s="695"/>
      <c r="I21" s="695"/>
      <c r="J21" s="695"/>
      <c r="K21" s="695"/>
      <c r="L21" s="695"/>
      <c r="M21" s="695"/>
      <c r="N21" s="695"/>
      <c r="O21" s="695"/>
      <c r="P21" s="695"/>
      <c r="Q21" s="695"/>
      <c r="R21" s="695"/>
      <c r="S21" s="695"/>
      <c r="T21" s="697"/>
      <c r="U21" s="697"/>
      <c r="V21" s="697"/>
      <c r="W21" s="697"/>
      <c r="X21" s="697"/>
      <c r="Y21" s="697"/>
      <c r="Z21" s="697"/>
      <c r="AA21" s="793"/>
      <c r="AB21" s="877"/>
    </row>
    <row r="22" spans="1:28" ht="13.5" thickBot="1" x14ac:dyDescent="0.3">
      <c r="A22" s="800">
        <v>1.5</v>
      </c>
      <c r="B22" s="801" t="s">
        <v>705</v>
      </c>
      <c r="C22" s="802"/>
      <c r="D22" s="803"/>
      <c r="E22" s="803"/>
      <c r="F22" s="803"/>
      <c r="G22" s="803"/>
      <c r="H22" s="803"/>
      <c r="I22" s="803"/>
      <c r="J22" s="803"/>
      <c r="K22" s="803"/>
      <c r="L22" s="803"/>
      <c r="M22" s="803"/>
      <c r="N22" s="803"/>
      <c r="O22" s="803"/>
      <c r="P22" s="803"/>
      <c r="Q22" s="803"/>
      <c r="R22" s="803"/>
      <c r="S22" s="803"/>
      <c r="T22" s="804"/>
      <c r="U22" s="804"/>
      <c r="V22" s="804"/>
      <c r="W22" s="804"/>
      <c r="X22" s="804"/>
      <c r="Y22" s="804"/>
      <c r="Z22" s="804"/>
      <c r="AA22" s="805"/>
      <c r="AB22" s="877"/>
    </row>
    <row r="25" spans="1:28" s="882" customFormat="1" x14ac:dyDescent="0.25">
      <c r="C25" s="877"/>
      <c r="D25" s="877"/>
      <c r="E25" s="877"/>
      <c r="H25" s="877"/>
      <c r="I25" s="877"/>
      <c r="J25" s="877"/>
      <c r="L25" s="877"/>
      <c r="O25" s="877"/>
      <c r="P25" s="877"/>
      <c r="Q25" s="877"/>
      <c r="R25" s="877"/>
    </row>
    <row r="26" spans="1:28" s="893" customFormat="1" x14ac:dyDescent="0.25"/>
    <row r="27" spans="1:28" s="893" customFormat="1" x14ac:dyDescent="0.25"/>
    <row r="28" spans="1:28" x14ac:dyDescent="0.25">
      <c r="C28" s="745"/>
    </row>
  </sheetData>
  <mergeCells count="7">
    <mergeCell ref="A5:B7"/>
    <mergeCell ref="C5:AA5"/>
    <mergeCell ref="C6:C7"/>
    <mergeCell ref="D6:G6"/>
    <mergeCell ref="H6:K6"/>
    <mergeCell ref="M6:S6"/>
    <mergeCell ref="U6:AA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F26B-E3ED-4E2A-952F-DD44BA7DBE81}">
  <dimension ref="A1:L36"/>
  <sheetViews>
    <sheetView showGridLines="0" topLeftCell="C3" zoomScaleNormal="100" workbookViewId="0">
      <selection activeCell="C7" sqref="C7:L33"/>
    </sheetView>
  </sheetViews>
  <sheetFormatPr defaultColWidth="9.140625" defaultRowHeight="12.75" x14ac:dyDescent="0.25"/>
  <cols>
    <col min="1" max="1" width="11.85546875" style="686" bestFit="1" customWidth="1"/>
    <col min="2" max="2" width="93.42578125" style="686" customWidth="1"/>
    <col min="3" max="3" width="14.5703125" style="686" customWidth="1"/>
    <col min="4" max="5" width="16.140625" style="686" customWidth="1"/>
    <col min="6" max="6" width="16.140625" style="746" customWidth="1"/>
    <col min="7" max="7" width="20.7109375" style="746" customWidth="1"/>
    <col min="8" max="8" width="16.140625" style="686" customWidth="1"/>
    <col min="9" max="11" width="16.140625" style="746" customWidth="1"/>
    <col min="12" max="12" width="21" style="746" customWidth="1"/>
    <col min="13" max="16384" width="9.140625" style="686"/>
  </cols>
  <sheetData>
    <row r="1" spans="1:12" ht="13.5" x14ac:dyDescent="0.25">
      <c r="A1" s="655" t="s">
        <v>41</v>
      </c>
      <c r="B1" s="24" t="str">
        <f>Info!C2</f>
        <v>სს სილქ ბანკი</v>
      </c>
      <c r="F1" s="686"/>
      <c r="G1" s="686"/>
      <c r="I1" s="686"/>
      <c r="J1" s="686"/>
      <c r="K1" s="686"/>
      <c r="L1" s="686"/>
    </row>
    <row r="2" spans="1:12" x14ac:dyDescent="0.25">
      <c r="A2" s="655" t="s">
        <v>42</v>
      </c>
      <c r="B2" s="657">
        <f>'1. key ratios'!B2</f>
        <v>45382</v>
      </c>
      <c r="F2" s="686"/>
      <c r="G2" s="686"/>
      <c r="I2" s="686"/>
      <c r="J2" s="686"/>
      <c r="K2" s="686"/>
      <c r="L2" s="686"/>
    </row>
    <row r="3" spans="1:12" x14ac:dyDescent="0.25">
      <c r="A3" s="658" t="s">
        <v>706</v>
      </c>
      <c r="F3" s="686"/>
      <c r="G3" s="686"/>
      <c r="I3" s="686"/>
      <c r="J3" s="686"/>
      <c r="K3" s="686"/>
      <c r="L3" s="686"/>
    </row>
    <row r="4" spans="1:12" ht="40.5" customHeight="1" x14ac:dyDescent="0.25">
      <c r="F4" s="686"/>
      <c r="G4" s="686"/>
      <c r="I4" s="686"/>
      <c r="J4" s="686"/>
      <c r="K4" s="686"/>
      <c r="L4" s="686"/>
    </row>
    <row r="5" spans="1:12" ht="37.5" customHeight="1" x14ac:dyDescent="0.25">
      <c r="A5" s="659" t="s">
        <v>707</v>
      </c>
      <c r="B5" s="660"/>
      <c r="C5" s="806" t="s">
        <v>582</v>
      </c>
      <c r="D5" s="807"/>
      <c r="E5" s="807"/>
      <c r="F5" s="807"/>
      <c r="G5" s="807"/>
      <c r="H5" s="806" t="s">
        <v>708</v>
      </c>
      <c r="I5" s="808"/>
      <c r="J5" s="808"/>
      <c r="K5" s="808"/>
      <c r="L5" s="809"/>
    </row>
    <row r="6" spans="1:12" ht="39.6" customHeight="1" x14ac:dyDescent="0.25">
      <c r="A6" s="669"/>
      <c r="B6" s="670"/>
      <c r="C6" s="810"/>
      <c r="D6" s="692" t="s">
        <v>657</v>
      </c>
      <c r="E6" s="692" t="s">
        <v>658</v>
      </c>
      <c r="F6" s="692" t="s">
        <v>659</v>
      </c>
      <c r="G6" s="692" t="s">
        <v>660</v>
      </c>
      <c r="H6" s="769"/>
      <c r="I6" s="692" t="s">
        <v>657</v>
      </c>
      <c r="J6" s="692" t="s">
        <v>658</v>
      </c>
      <c r="K6" s="692" t="s">
        <v>659</v>
      </c>
      <c r="L6" s="692" t="s">
        <v>660</v>
      </c>
    </row>
    <row r="7" spans="1:12" x14ac:dyDescent="0.25">
      <c r="A7" s="697">
        <v>1</v>
      </c>
      <c r="B7" s="719" t="s">
        <v>595</v>
      </c>
      <c r="C7" s="811">
        <v>1670743.8862483394</v>
      </c>
      <c r="D7" s="695">
        <v>1647599.7078541787</v>
      </c>
      <c r="E7" s="695">
        <v>10040.650000000001</v>
      </c>
      <c r="F7" s="695">
        <v>13103.528394160583</v>
      </c>
      <c r="G7" s="695">
        <f>C7-D7-E7-F7</f>
        <v>1.1459633242338896E-10</v>
      </c>
      <c r="H7" s="695">
        <v>51386.893342921037</v>
      </c>
      <c r="I7" s="695">
        <v>43673.684163306614</v>
      </c>
      <c r="J7" s="695">
        <v>1318.3131693778887</v>
      </c>
      <c r="K7" s="695">
        <v>6394.8960102365409</v>
      </c>
      <c r="L7" s="695">
        <v>0</v>
      </c>
    </row>
    <row r="8" spans="1:12" x14ac:dyDescent="0.25">
      <c r="A8" s="697">
        <v>2</v>
      </c>
      <c r="B8" s="719" t="s">
        <v>596</v>
      </c>
      <c r="C8" s="811">
        <v>3867067.6306641176</v>
      </c>
      <c r="D8" s="695">
        <v>3867067.6306641176</v>
      </c>
      <c r="E8" s="695">
        <v>0</v>
      </c>
      <c r="F8" s="695">
        <v>0</v>
      </c>
      <c r="G8" s="695">
        <v>0</v>
      </c>
      <c r="H8" s="695">
        <v>31399.760261625786</v>
      </c>
      <c r="I8" s="695">
        <v>31399.760261625786</v>
      </c>
      <c r="J8" s="695">
        <v>0</v>
      </c>
      <c r="K8" s="695">
        <v>0</v>
      </c>
      <c r="L8" s="695">
        <v>0</v>
      </c>
    </row>
    <row r="9" spans="1:12" x14ac:dyDescent="0.25">
      <c r="A9" s="697">
        <v>3</v>
      </c>
      <c r="B9" s="719" t="s">
        <v>597</v>
      </c>
      <c r="C9" s="811">
        <v>0</v>
      </c>
      <c r="D9" s="695">
        <v>0</v>
      </c>
      <c r="E9" s="695">
        <v>0</v>
      </c>
      <c r="F9" s="695">
        <v>0</v>
      </c>
      <c r="G9" s="695">
        <v>0</v>
      </c>
      <c r="H9" s="695">
        <v>0</v>
      </c>
      <c r="I9" s="695">
        <v>0</v>
      </c>
      <c r="J9" s="695">
        <v>0</v>
      </c>
      <c r="K9" s="695">
        <v>0</v>
      </c>
      <c r="L9" s="695">
        <v>0</v>
      </c>
    </row>
    <row r="10" spans="1:12" x14ac:dyDescent="0.25">
      <c r="A10" s="697">
        <v>4</v>
      </c>
      <c r="B10" s="719" t="s">
        <v>598</v>
      </c>
      <c r="C10" s="811">
        <v>9021653.9595743679</v>
      </c>
      <c r="D10" s="695">
        <v>9021653.9595743679</v>
      </c>
      <c r="E10" s="695">
        <v>0</v>
      </c>
      <c r="F10" s="695">
        <v>0</v>
      </c>
      <c r="G10" s="695">
        <v>0</v>
      </c>
      <c r="H10" s="695">
        <v>122296.31964623451</v>
      </c>
      <c r="I10" s="695">
        <v>122296.31964623451</v>
      </c>
      <c r="J10" s="695">
        <v>0</v>
      </c>
      <c r="K10" s="695">
        <v>0</v>
      </c>
      <c r="L10" s="695">
        <v>0</v>
      </c>
    </row>
    <row r="11" spans="1:12" x14ac:dyDescent="0.25">
      <c r="A11" s="697">
        <v>5</v>
      </c>
      <c r="B11" s="719" t="s">
        <v>600</v>
      </c>
      <c r="C11" s="811">
        <v>9528189.6504339371</v>
      </c>
      <c r="D11" s="695">
        <v>9528189.6504339371</v>
      </c>
      <c r="E11" s="695">
        <v>0</v>
      </c>
      <c r="F11" s="695">
        <v>0</v>
      </c>
      <c r="G11" s="695">
        <v>0</v>
      </c>
      <c r="H11" s="695">
        <v>147348.45214249715</v>
      </c>
      <c r="I11" s="695">
        <v>147348.45214249715</v>
      </c>
      <c r="J11" s="695">
        <v>0</v>
      </c>
      <c r="K11" s="695">
        <v>0</v>
      </c>
      <c r="L11" s="695">
        <v>0</v>
      </c>
    </row>
    <row r="12" spans="1:12" x14ac:dyDescent="0.25">
      <c r="A12" s="697">
        <v>6</v>
      </c>
      <c r="B12" s="719" t="s">
        <v>601</v>
      </c>
      <c r="C12" s="811">
        <v>3080450.1656365567</v>
      </c>
      <c r="D12" s="695">
        <v>3036087.4156365567</v>
      </c>
      <c r="E12" s="695">
        <v>0</v>
      </c>
      <c r="F12" s="695">
        <v>44362.75</v>
      </c>
      <c r="G12" s="695">
        <v>0</v>
      </c>
      <c r="H12" s="695">
        <v>105332.38669513316</v>
      </c>
      <c r="I12" s="695">
        <v>83682.097975604294</v>
      </c>
      <c r="J12" s="695">
        <v>0</v>
      </c>
      <c r="K12" s="695">
        <v>21650.288719528868</v>
      </c>
      <c r="L12" s="695">
        <v>0</v>
      </c>
    </row>
    <row r="13" spans="1:12" x14ac:dyDescent="0.25">
      <c r="A13" s="697">
        <v>7</v>
      </c>
      <c r="B13" s="719" t="s">
        <v>603</v>
      </c>
      <c r="C13" s="811">
        <v>2012170.4356629145</v>
      </c>
      <c r="D13" s="695">
        <v>2012170.4356629145</v>
      </c>
      <c r="E13" s="695">
        <v>0</v>
      </c>
      <c r="F13" s="695">
        <v>0</v>
      </c>
      <c r="G13" s="695">
        <v>0</v>
      </c>
      <c r="H13" s="695">
        <v>22657.467806593475</v>
      </c>
      <c r="I13" s="695">
        <v>22657.467806593475</v>
      </c>
      <c r="J13" s="695">
        <v>0</v>
      </c>
      <c r="K13" s="695">
        <v>0</v>
      </c>
      <c r="L13" s="695">
        <v>0</v>
      </c>
    </row>
    <row r="14" spans="1:12" x14ac:dyDescent="0.25">
      <c r="A14" s="697">
        <v>8</v>
      </c>
      <c r="B14" s="719" t="s">
        <v>604</v>
      </c>
      <c r="C14" s="811">
        <v>556348.74776955484</v>
      </c>
      <c r="D14" s="695">
        <v>489674.87776955473</v>
      </c>
      <c r="E14" s="695">
        <v>0</v>
      </c>
      <c r="F14" s="695">
        <v>66673.87</v>
      </c>
      <c r="G14" s="695">
        <v>0</v>
      </c>
      <c r="H14" s="695">
        <v>54544.5058935954</v>
      </c>
      <c r="I14" s="695">
        <v>12383.062344755042</v>
      </c>
      <c r="J14" s="695">
        <v>0</v>
      </c>
      <c r="K14" s="695">
        <v>42161.443548840376</v>
      </c>
      <c r="L14" s="695">
        <v>0</v>
      </c>
    </row>
    <row r="15" spans="1:12" x14ac:dyDescent="0.25">
      <c r="A15" s="697">
        <v>9</v>
      </c>
      <c r="B15" s="719" t="s">
        <v>605</v>
      </c>
      <c r="C15" s="811">
        <v>13254.369999999999</v>
      </c>
      <c r="D15" s="695">
        <v>13254.369999999999</v>
      </c>
      <c r="E15" s="695">
        <v>0</v>
      </c>
      <c r="F15" s="695">
        <v>0</v>
      </c>
      <c r="G15" s="695">
        <v>0</v>
      </c>
      <c r="H15" s="695">
        <v>502.3305134178047</v>
      </c>
      <c r="I15" s="695">
        <v>502.3305134178047</v>
      </c>
      <c r="J15" s="695">
        <v>0</v>
      </c>
      <c r="K15" s="695">
        <v>0</v>
      </c>
      <c r="L15" s="695">
        <v>0</v>
      </c>
    </row>
    <row r="16" spans="1:12" x14ac:dyDescent="0.25">
      <c r="A16" s="697">
        <v>10</v>
      </c>
      <c r="B16" s="719" t="s">
        <v>606</v>
      </c>
      <c r="C16" s="811">
        <v>53455.745094730228</v>
      </c>
      <c r="D16" s="695">
        <v>53455.745094730228</v>
      </c>
      <c r="E16" s="695">
        <v>0</v>
      </c>
      <c r="F16" s="695">
        <v>0</v>
      </c>
      <c r="G16" s="695">
        <v>0</v>
      </c>
      <c r="H16" s="695">
        <v>1887.2618842775994</v>
      </c>
      <c r="I16" s="695">
        <v>1887.2618842775994</v>
      </c>
      <c r="J16" s="695">
        <v>0</v>
      </c>
      <c r="K16" s="695">
        <v>0</v>
      </c>
      <c r="L16" s="695">
        <v>0</v>
      </c>
    </row>
    <row r="17" spans="1:12" x14ac:dyDescent="0.25">
      <c r="A17" s="697">
        <v>11</v>
      </c>
      <c r="B17" s="719" t="s">
        <v>607</v>
      </c>
      <c r="C17" s="811">
        <v>14310.535547445255</v>
      </c>
      <c r="D17" s="695">
        <v>14310.535547445255</v>
      </c>
      <c r="E17" s="695">
        <v>0</v>
      </c>
      <c r="F17" s="695">
        <v>0</v>
      </c>
      <c r="G17" s="695">
        <v>0</v>
      </c>
      <c r="H17" s="695">
        <v>403.26966353917106</v>
      </c>
      <c r="I17" s="695">
        <v>403.26966353917106</v>
      </c>
      <c r="J17" s="695">
        <v>0</v>
      </c>
      <c r="K17" s="695">
        <v>0</v>
      </c>
      <c r="L17" s="695">
        <v>0</v>
      </c>
    </row>
    <row r="18" spans="1:12" x14ac:dyDescent="0.25">
      <c r="A18" s="697">
        <v>12</v>
      </c>
      <c r="B18" s="719" t="s">
        <v>608</v>
      </c>
      <c r="C18" s="811">
        <v>5941647.980510232</v>
      </c>
      <c r="D18" s="695">
        <v>5916930.1737949038</v>
      </c>
      <c r="E18" s="695">
        <v>0</v>
      </c>
      <c r="F18" s="695">
        <v>24717.806715328465</v>
      </c>
      <c r="G18" s="695">
        <v>0</v>
      </c>
      <c r="H18" s="695">
        <v>98455.686072107332</v>
      </c>
      <c r="I18" s="695">
        <v>86392.690610816688</v>
      </c>
      <c r="J18" s="695">
        <v>0</v>
      </c>
      <c r="K18" s="695">
        <v>12062.995461290629</v>
      </c>
      <c r="L18" s="695">
        <v>0</v>
      </c>
    </row>
    <row r="19" spans="1:12" x14ac:dyDescent="0.25">
      <c r="A19" s="697">
        <v>13</v>
      </c>
      <c r="B19" s="719" t="s">
        <v>609</v>
      </c>
      <c r="C19" s="811">
        <v>170702.44469528057</v>
      </c>
      <c r="D19" s="695">
        <v>159530.23243250686</v>
      </c>
      <c r="E19" s="695">
        <v>11172.212262773723</v>
      </c>
      <c r="F19" s="695">
        <v>0</v>
      </c>
      <c r="G19" s="695">
        <v>0</v>
      </c>
      <c r="H19" s="695">
        <v>9013.9192660114313</v>
      </c>
      <c r="I19" s="695">
        <v>4736.2801021892237</v>
      </c>
      <c r="J19" s="695">
        <v>4277.6391638222067</v>
      </c>
      <c r="K19" s="695">
        <v>0</v>
      </c>
      <c r="L19" s="695">
        <v>0</v>
      </c>
    </row>
    <row r="20" spans="1:12" x14ac:dyDescent="0.25">
      <c r="A20" s="697">
        <v>14</v>
      </c>
      <c r="B20" s="719" t="s">
        <v>610</v>
      </c>
      <c r="C20" s="811">
        <v>1554708.7876084305</v>
      </c>
      <c r="D20" s="695">
        <v>1513625.2276084304</v>
      </c>
      <c r="E20" s="695">
        <v>0</v>
      </c>
      <c r="F20" s="695">
        <v>41083.56</v>
      </c>
      <c r="G20" s="695">
        <v>0</v>
      </c>
      <c r="H20" s="695">
        <v>44576.011611980437</v>
      </c>
      <c r="I20" s="695">
        <v>24526.061245375859</v>
      </c>
      <c r="J20" s="695">
        <v>0</v>
      </c>
      <c r="K20" s="695">
        <v>20049.950366604582</v>
      </c>
      <c r="L20" s="695">
        <v>0</v>
      </c>
    </row>
    <row r="21" spans="1:12" x14ac:dyDescent="0.25">
      <c r="A21" s="697">
        <v>15</v>
      </c>
      <c r="B21" s="719" t="s">
        <v>611</v>
      </c>
      <c r="C21" s="811">
        <v>1938723.5340332775</v>
      </c>
      <c r="D21" s="695">
        <v>1938287.8840332776</v>
      </c>
      <c r="E21" s="695">
        <v>0</v>
      </c>
      <c r="F21" s="695">
        <v>435.65</v>
      </c>
      <c r="G21" s="695">
        <v>0</v>
      </c>
      <c r="H21" s="695">
        <v>25501.789008852655</v>
      </c>
      <c r="I21" s="695">
        <v>25289.179369444304</v>
      </c>
      <c r="J21" s="695">
        <v>0</v>
      </c>
      <c r="K21" s="695">
        <v>212.60963940834938</v>
      </c>
      <c r="L21" s="695">
        <v>0</v>
      </c>
    </row>
    <row r="22" spans="1:12" x14ac:dyDescent="0.25">
      <c r="A22" s="697">
        <v>16</v>
      </c>
      <c r="B22" s="711" t="s">
        <v>612</v>
      </c>
      <c r="C22" s="811">
        <v>64210.002782289353</v>
      </c>
      <c r="D22" s="695">
        <v>64210.002782289353</v>
      </c>
      <c r="E22" s="695">
        <v>0</v>
      </c>
      <c r="F22" s="695">
        <v>0</v>
      </c>
      <c r="G22" s="695">
        <v>0</v>
      </c>
      <c r="H22" s="695">
        <v>1592.9399048200842</v>
      </c>
      <c r="I22" s="695">
        <v>1592.9399048200842</v>
      </c>
      <c r="J22" s="695">
        <v>0</v>
      </c>
      <c r="K22" s="695">
        <v>0</v>
      </c>
      <c r="L22" s="695">
        <v>0</v>
      </c>
    </row>
    <row r="23" spans="1:12" x14ac:dyDescent="0.25">
      <c r="A23" s="697">
        <v>17</v>
      </c>
      <c r="B23" s="719" t="s">
        <v>613</v>
      </c>
      <c r="C23" s="811">
        <v>87313.658819374847</v>
      </c>
      <c r="D23" s="695">
        <v>81752.378819374848</v>
      </c>
      <c r="E23" s="695">
        <v>0</v>
      </c>
      <c r="F23" s="695">
        <v>5561.2800000000007</v>
      </c>
      <c r="G23" s="695">
        <v>0</v>
      </c>
      <c r="H23" s="695">
        <v>4839.2470296701276</v>
      </c>
      <c r="I23" s="695">
        <v>2125.1835946905217</v>
      </c>
      <c r="J23" s="695">
        <v>0</v>
      </c>
      <c r="K23" s="695">
        <v>2714.063434979606</v>
      </c>
      <c r="L23" s="695">
        <v>0</v>
      </c>
    </row>
    <row r="24" spans="1:12" x14ac:dyDescent="0.25">
      <c r="A24" s="697">
        <v>18</v>
      </c>
      <c r="B24" s="719" t="s">
        <v>614</v>
      </c>
      <c r="C24" s="811">
        <v>12216231.531764409</v>
      </c>
      <c r="D24" s="695">
        <v>12207173.185633022</v>
      </c>
      <c r="E24" s="695">
        <v>9058.3461313868611</v>
      </c>
      <c r="F24" s="695">
        <v>0</v>
      </c>
      <c r="G24" s="695">
        <v>0</v>
      </c>
      <c r="H24" s="695">
        <v>7704.1708874965525</v>
      </c>
      <c r="I24" s="695">
        <v>6151.1323514911501</v>
      </c>
      <c r="J24" s="695">
        <v>1553.038536005402</v>
      </c>
      <c r="K24" s="695">
        <v>0</v>
      </c>
      <c r="L24" s="695">
        <v>0</v>
      </c>
    </row>
    <row r="25" spans="1:12" x14ac:dyDescent="0.25">
      <c r="A25" s="697">
        <v>19</v>
      </c>
      <c r="B25" s="719" t="s">
        <v>615</v>
      </c>
      <c r="C25" s="811">
        <v>315225.93486978934</v>
      </c>
      <c r="D25" s="695">
        <v>315111.09486978932</v>
      </c>
      <c r="E25" s="695">
        <v>0</v>
      </c>
      <c r="F25" s="695">
        <v>114.84</v>
      </c>
      <c r="G25" s="695">
        <v>0</v>
      </c>
      <c r="H25" s="695">
        <v>12418.015161124187</v>
      </c>
      <c r="I25" s="695">
        <v>12361.969962020194</v>
      </c>
      <c r="J25" s="695">
        <v>0</v>
      </c>
      <c r="K25" s="695">
        <v>56.045199103993674</v>
      </c>
      <c r="L25" s="695">
        <v>0</v>
      </c>
    </row>
    <row r="26" spans="1:12" x14ac:dyDescent="0.25">
      <c r="A26" s="697">
        <v>20</v>
      </c>
      <c r="B26" s="719" t="s">
        <v>616</v>
      </c>
      <c r="C26" s="811">
        <v>106674.2627291549</v>
      </c>
      <c r="D26" s="695">
        <v>106674.2627291549</v>
      </c>
      <c r="E26" s="695">
        <v>0</v>
      </c>
      <c r="F26" s="695">
        <v>0</v>
      </c>
      <c r="G26" s="695">
        <v>0</v>
      </c>
      <c r="H26" s="695">
        <v>3393.6632334106775</v>
      </c>
      <c r="I26" s="695">
        <v>3393.6632334106775</v>
      </c>
      <c r="J26" s="695">
        <v>0</v>
      </c>
      <c r="K26" s="695">
        <v>0</v>
      </c>
      <c r="L26" s="695">
        <v>0</v>
      </c>
    </row>
    <row r="27" spans="1:12" x14ac:dyDescent="0.25">
      <c r="A27" s="697">
        <v>21</v>
      </c>
      <c r="B27" s="719" t="s">
        <v>617</v>
      </c>
      <c r="C27" s="811">
        <v>267471.27748665394</v>
      </c>
      <c r="D27" s="695">
        <v>267471.27748665394</v>
      </c>
      <c r="E27" s="695">
        <v>0</v>
      </c>
      <c r="F27" s="695">
        <v>0</v>
      </c>
      <c r="G27" s="695">
        <v>0</v>
      </c>
      <c r="H27" s="695">
        <v>7931.3622732580698</v>
      </c>
      <c r="I27" s="695">
        <v>7931.3622732580698</v>
      </c>
      <c r="J27" s="695">
        <v>0</v>
      </c>
      <c r="K27" s="695">
        <v>0</v>
      </c>
      <c r="L27" s="695">
        <v>0</v>
      </c>
    </row>
    <row r="28" spans="1:12" x14ac:dyDescent="0.25">
      <c r="A28" s="697">
        <v>22</v>
      </c>
      <c r="B28" s="719" t="s">
        <v>618</v>
      </c>
      <c r="C28" s="811">
        <v>2192790.0919023757</v>
      </c>
      <c r="D28" s="695">
        <v>2085818.6619023753</v>
      </c>
      <c r="E28" s="695">
        <v>70682.749999999985</v>
      </c>
      <c r="F28" s="695">
        <v>36288.68</v>
      </c>
      <c r="G28" s="695">
        <v>0</v>
      </c>
      <c r="H28" s="695">
        <v>58604.775746846972</v>
      </c>
      <c r="I28" s="695">
        <v>31757.005058236722</v>
      </c>
      <c r="J28" s="695">
        <v>9137.8586734490527</v>
      </c>
      <c r="K28" s="695">
        <v>17709.912015161208</v>
      </c>
      <c r="L28" s="695">
        <v>0</v>
      </c>
    </row>
    <row r="29" spans="1:12" x14ac:dyDescent="0.25">
      <c r="A29" s="697">
        <v>23</v>
      </c>
      <c r="B29" s="719" t="s">
        <v>619</v>
      </c>
      <c r="C29" s="811">
        <v>8244601.752157676</v>
      </c>
      <c r="D29" s="695">
        <v>7871239.5319657102</v>
      </c>
      <c r="E29" s="695">
        <v>246303.23117178562</v>
      </c>
      <c r="F29" s="695">
        <v>127058.98902017884</v>
      </c>
      <c r="G29" s="695">
        <v>0</v>
      </c>
      <c r="H29" s="695">
        <v>318948.26684876496</v>
      </c>
      <c r="I29" s="695">
        <v>204769.13088644436</v>
      </c>
      <c r="J29" s="695">
        <v>52170.721319443262</v>
      </c>
      <c r="K29" s="695">
        <v>62008.414642877651</v>
      </c>
      <c r="L29" s="695">
        <v>0</v>
      </c>
    </row>
    <row r="30" spans="1:12" x14ac:dyDescent="0.25">
      <c r="A30" s="697">
        <v>24</v>
      </c>
      <c r="B30" s="719" t="s">
        <v>620</v>
      </c>
      <c r="C30" s="811">
        <v>2690314.3342646514</v>
      </c>
      <c r="D30" s="695">
        <v>2545976.1242646514</v>
      </c>
      <c r="E30" s="695">
        <v>0</v>
      </c>
      <c r="F30" s="695">
        <v>144338.21</v>
      </c>
      <c r="G30" s="695">
        <v>0</v>
      </c>
      <c r="H30" s="695">
        <v>112919.39139655554</v>
      </c>
      <c r="I30" s="695">
        <v>28281.180699583721</v>
      </c>
      <c r="J30" s="695">
        <v>0</v>
      </c>
      <c r="K30" s="695">
        <v>84638.210696971815</v>
      </c>
      <c r="L30" s="695">
        <v>0</v>
      </c>
    </row>
    <row r="31" spans="1:12" x14ac:dyDescent="0.25">
      <c r="A31" s="697">
        <v>25</v>
      </c>
      <c r="B31" s="719" t="s">
        <v>216</v>
      </c>
      <c r="C31" s="925">
        <v>5497830.8455896061</v>
      </c>
      <c r="D31" s="695">
        <v>5392250.202151211</v>
      </c>
      <c r="E31" s="697">
        <v>28189.813438395413</v>
      </c>
      <c r="F31" s="697">
        <v>77390.830000000016</v>
      </c>
      <c r="G31" s="695">
        <v>0</v>
      </c>
      <c r="H31" s="697">
        <v>139518.89451189429</v>
      </c>
      <c r="I31" s="695">
        <v>98113.731996680057</v>
      </c>
      <c r="J31" s="695">
        <v>3636.2276826355901</v>
      </c>
      <c r="K31" s="695">
        <v>37768.934832578612</v>
      </c>
      <c r="L31" s="695">
        <v>0</v>
      </c>
    </row>
    <row r="32" spans="1:12" x14ac:dyDescent="0.25">
      <c r="A32" s="697">
        <v>26</v>
      </c>
      <c r="B32" s="719" t="s">
        <v>709</v>
      </c>
      <c r="C32" s="811">
        <v>0</v>
      </c>
      <c r="D32" s="695">
        <v>0</v>
      </c>
      <c r="E32" s="695">
        <v>0</v>
      </c>
      <c r="F32" s="695">
        <v>0</v>
      </c>
      <c r="G32" s="695">
        <v>0</v>
      </c>
      <c r="H32" s="811">
        <v>0</v>
      </c>
      <c r="I32" s="811">
        <v>0</v>
      </c>
      <c r="J32" s="811">
        <v>0</v>
      </c>
      <c r="K32" s="811">
        <v>0</v>
      </c>
      <c r="L32" s="695">
        <v>0</v>
      </c>
    </row>
    <row r="33" spans="1:12" x14ac:dyDescent="0.25">
      <c r="A33" s="697">
        <v>27</v>
      </c>
      <c r="B33" s="812" t="s">
        <v>96</v>
      </c>
      <c r="C33" s="813">
        <f>SUM(C7:C32)</f>
        <v>71106091.565845162</v>
      </c>
      <c r="D33" s="813">
        <f t="shared" ref="D33:L33" si="0">SUM(D7:D32)</f>
        <v>70149514.568711162</v>
      </c>
      <c r="E33" s="813">
        <f t="shared" si="0"/>
        <v>375447.00300434156</v>
      </c>
      <c r="F33" s="813">
        <f t="shared" si="0"/>
        <v>581129.99412966776</v>
      </c>
      <c r="G33" s="813">
        <f t="shared" si="0"/>
        <v>1.1459633242338896E-10</v>
      </c>
      <c r="H33" s="813">
        <f t="shared" si="0"/>
        <v>1383176.7808026285</v>
      </c>
      <c r="I33" s="813">
        <f t="shared" si="0"/>
        <v>1003655.217690313</v>
      </c>
      <c r="J33" s="813">
        <f t="shared" si="0"/>
        <v>72093.798544733407</v>
      </c>
      <c r="K33" s="813">
        <f t="shared" si="0"/>
        <v>307427.76456758217</v>
      </c>
      <c r="L33" s="813">
        <f t="shared" si="0"/>
        <v>0</v>
      </c>
    </row>
    <row r="34" spans="1:12" s="893" customFormat="1" x14ac:dyDescent="0.25">
      <c r="C34" s="883"/>
      <c r="F34" s="923"/>
      <c r="G34" s="923"/>
      <c r="I34" s="923"/>
      <c r="J34" s="923"/>
      <c r="K34" s="923"/>
      <c r="L34" s="923"/>
    </row>
    <row r="35" spans="1:12" s="893" customFormat="1" x14ac:dyDescent="0.25">
      <c r="B35" s="924"/>
      <c r="C35" s="883"/>
      <c r="D35" s="883"/>
      <c r="E35" s="883"/>
      <c r="F35" s="883"/>
      <c r="G35" s="923"/>
      <c r="H35" s="883"/>
      <c r="I35" s="883"/>
      <c r="J35" s="883"/>
      <c r="K35" s="883"/>
      <c r="L35" s="923"/>
    </row>
    <row r="36" spans="1:12" s="893" customFormat="1" x14ac:dyDescent="0.25">
      <c r="B36" s="883"/>
      <c r="F36" s="923"/>
      <c r="G36" s="923"/>
      <c r="I36" s="923"/>
      <c r="J36" s="923"/>
      <c r="K36" s="923"/>
      <c r="L36" s="923"/>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4AD4-3762-4C0E-A1D4-74CF4632677D}">
  <dimension ref="A1:M22"/>
  <sheetViews>
    <sheetView showGridLines="0" topLeftCell="C1" zoomScaleNormal="100" workbookViewId="0">
      <selection activeCell="L41" sqref="L41"/>
    </sheetView>
  </sheetViews>
  <sheetFormatPr defaultColWidth="8.7109375" defaultRowHeight="12" x14ac:dyDescent="0.2"/>
  <cols>
    <col min="1" max="1" width="11.85546875" style="817" bestFit="1" customWidth="1"/>
    <col min="2" max="2" width="80" style="817" customWidth="1"/>
    <col min="3" max="11" width="20.5703125" style="817" customWidth="1"/>
    <col min="12" max="12" width="12.42578125" style="816" bestFit="1" customWidth="1"/>
    <col min="13" max="16384" width="8.7109375" style="817"/>
  </cols>
  <sheetData>
    <row r="1" spans="1:13" s="656" customFormat="1" ht="13.5" x14ac:dyDescent="0.25">
      <c r="A1" s="655" t="s">
        <v>41</v>
      </c>
      <c r="B1" s="24" t="str">
        <f>Info!C2</f>
        <v>სს სილქ ბანკი</v>
      </c>
      <c r="C1" s="686"/>
      <c r="D1" s="686"/>
      <c r="E1" s="686"/>
      <c r="F1" s="686"/>
      <c r="G1" s="686"/>
      <c r="H1" s="686"/>
      <c r="I1" s="686"/>
      <c r="J1" s="686"/>
      <c r="K1" s="686"/>
      <c r="L1" s="721"/>
    </row>
    <row r="2" spans="1:13" s="656" customFormat="1" ht="12.75" x14ac:dyDescent="0.25">
      <c r="A2" s="655" t="s">
        <v>42</v>
      </c>
      <c r="B2" s="657">
        <f>'1. key ratios'!B2</f>
        <v>45382</v>
      </c>
      <c r="C2" s="686"/>
      <c r="D2" s="686"/>
      <c r="E2" s="686"/>
      <c r="F2" s="686"/>
      <c r="G2" s="686"/>
      <c r="H2" s="686"/>
      <c r="I2" s="686"/>
      <c r="J2" s="686"/>
      <c r="K2" s="686"/>
      <c r="L2" s="721"/>
    </row>
    <row r="3" spans="1:13" s="656" customFormat="1" ht="12.75" x14ac:dyDescent="0.25">
      <c r="A3" s="658" t="s">
        <v>710</v>
      </c>
      <c r="B3" s="686"/>
      <c r="C3" s="686"/>
      <c r="D3" s="686"/>
      <c r="E3" s="686"/>
      <c r="F3" s="686"/>
      <c r="G3" s="686"/>
      <c r="H3" s="686"/>
      <c r="I3" s="686"/>
      <c r="J3" s="686"/>
      <c r="K3" s="686"/>
      <c r="L3" s="721"/>
    </row>
    <row r="4" spans="1:13" ht="40.5" customHeight="1" x14ac:dyDescent="0.2">
      <c r="A4" s="814"/>
      <c r="B4" s="814"/>
      <c r="C4" s="815" t="s">
        <v>575</v>
      </c>
      <c r="D4" s="815" t="s">
        <v>576</v>
      </c>
      <c r="E4" s="815" t="s">
        <v>577</v>
      </c>
      <c r="F4" s="815" t="s">
        <v>578</v>
      </c>
      <c r="G4" s="815" t="s">
        <v>579</v>
      </c>
      <c r="H4" s="815" t="s">
        <v>580</v>
      </c>
      <c r="I4" s="815" t="s">
        <v>711</v>
      </c>
      <c r="J4" s="815" t="s">
        <v>712</v>
      </c>
      <c r="K4" s="815" t="s">
        <v>713</v>
      </c>
    </row>
    <row r="5" spans="1:13" ht="104.1" customHeight="1" x14ac:dyDescent="0.2">
      <c r="A5" s="818" t="s">
        <v>714</v>
      </c>
      <c r="B5" s="819"/>
      <c r="C5" s="820" t="s">
        <v>715</v>
      </c>
      <c r="D5" s="820" t="s">
        <v>716</v>
      </c>
      <c r="E5" s="820" t="s">
        <v>717</v>
      </c>
      <c r="F5" s="820" t="s">
        <v>718</v>
      </c>
      <c r="G5" s="820" t="s">
        <v>719</v>
      </c>
      <c r="H5" s="820" t="s">
        <v>720</v>
      </c>
      <c r="I5" s="820" t="s">
        <v>721</v>
      </c>
      <c r="J5" s="820" t="s">
        <v>722</v>
      </c>
      <c r="K5" s="820" t="s">
        <v>723</v>
      </c>
    </row>
    <row r="6" spans="1:13" ht="12.75" x14ac:dyDescent="0.25">
      <c r="A6" s="697">
        <v>1</v>
      </c>
      <c r="B6" s="697" t="s">
        <v>724</v>
      </c>
      <c r="C6" s="695">
        <v>2108066.8126232079</v>
      </c>
      <c r="D6" s="695"/>
      <c r="E6" s="695"/>
      <c r="F6" s="695"/>
      <c r="G6" s="695">
        <v>44981660.725767508</v>
      </c>
      <c r="H6" s="695"/>
      <c r="I6" s="696">
        <v>8709633.0078686066</v>
      </c>
      <c r="J6" s="696">
        <v>0</v>
      </c>
      <c r="K6" s="696">
        <f>'23. LTV'!C8-J6-I6-G6-C6</f>
        <v>15306731.019585857</v>
      </c>
      <c r="L6" s="821">
        <f>'23. LTV'!C8-'25. Collateral'!J6-'25. Collateral'!G6-'25. Collateral'!C6-K6-I6</f>
        <v>0</v>
      </c>
      <c r="M6" s="822">
        <v>0</v>
      </c>
    </row>
    <row r="7" spans="1:13" ht="12.75" x14ac:dyDescent="0.25">
      <c r="A7" s="697">
        <v>2</v>
      </c>
      <c r="B7" s="697" t="s">
        <v>725</v>
      </c>
      <c r="C7" s="695"/>
      <c r="D7" s="695"/>
      <c r="E7" s="695"/>
      <c r="F7" s="695"/>
      <c r="G7" s="695"/>
      <c r="H7" s="695"/>
      <c r="I7" s="695"/>
      <c r="J7" s="695"/>
      <c r="K7" s="695"/>
    </row>
    <row r="8" spans="1:13" ht="12.75" x14ac:dyDescent="0.25">
      <c r="A8" s="697">
        <v>3</v>
      </c>
      <c r="B8" s="697" t="s">
        <v>675</v>
      </c>
      <c r="C8" s="695">
        <v>710953</v>
      </c>
      <c r="D8" s="695"/>
      <c r="E8" s="695"/>
      <c r="F8" s="695"/>
      <c r="G8" s="695">
        <v>2935727.25</v>
      </c>
      <c r="H8" s="695"/>
      <c r="I8" s="695"/>
      <c r="J8" s="695"/>
      <c r="K8" s="695">
        <f>'4. Off-balance'!E27+'4. Off-balance'!E28-C8-G8-I8</f>
        <v>3279993.75</v>
      </c>
    </row>
    <row r="9" spans="1:13" ht="12.75" x14ac:dyDescent="0.25">
      <c r="A9" s="697">
        <v>4</v>
      </c>
      <c r="B9" s="728" t="s">
        <v>726</v>
      </c>
      <c r="C9" s="823"/>
      <c r="D9" s="823"/>
      <c r="E9" s="823"/>
      <c r="F9" s="823"/>
      <c r="G9" s="823">
        <v>281760.64000000001</v>
      </c>
      <c r="H9" s="823"/>
      <c r="I9" s="823">
        <v>0</v>
      </c>
      <c r="J9" s="824"/>
      <c r="K9" s="823">
        <v>299369.35412966774</v>
      </c>
    </row>
    <row r="10" spans="1:13" ht="12.75" x14ac:dyDescent="0.25">
      <c r="A10" s="697">
        <v>5</v>
      </c>
      <c r="B10" s="728" t="s">
        <v>727</v>
      </c>
      <c r="C10" s="823"/>
      <c r="D10" s="823"/>
      <c r="E10" s="823"/>
      <c r="F10" s="823"/>
      <c r="G10" s="823"/>
      <c r="H10" s="823"/>
      <c r="I10" s="823"/>
      <c r="J10" s="823"/>
      <c r="K10" s="823"/>
    </row>
    <row r="11" spans="1:13" ht="12.75" x14ac:dyDescent="0.25">
      <c r="A11" s="697">
        <v>6</v>
      </c>
      <c r="B11" s="728" t="s">
        <v>728</v>
      </c>
      <c r="C11" s="823"/>
      <c r="D11" s="823"/>
      <c r="E11" s="823"/>
      <c r="F11" s="823"/>
      <c r="G11" s="823"/>
      <c r="H11" s="823"/>
      <c r="I11" s="823"/>
      <c r="J11" s="823"/>
      <c r="K11" s="823"/>
    </row>
    <row r="13" spans="1:13" ht="15" x14ac:dyDescent="0.3">
      <c r="B13" s="825"/>
      <c r="G13" s="826"/>
    </row>
    <row r="14" spans="1:13" x14ac:dyDescent="0.2">
      <c r="G14" s="826"/>
    </row>
    <row r="15" spans="1:13" x14ac:dyDescent="0.2">
      <c r="G15" s="827"/>
    </row>
    <row r="20" spans="2:7" x14ac:dyDescent="0.2">
      <c r="C20" s="827"/>
      <c r="G20" s="827"/>
    </row>
    <row r="22" spans="2:7" x14ac:dyDescent="0.2">
      <c r="B22" s="828"/>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0CD6A-34A2-4E59-87C2-A232D7391318}">
  <dimension ref="A1:BP27"/>
  <sheetViews>
    <sheetView showGridLines="0" tabSelected="1" topLeftCell="B1" zoomScaleNormal="100" workbookViewId="0">
      <pane xSplit="2" topLeftCell="N1" activePane="topRight" state="frozen"/>
      <selection activeCell="D46" sqref="D46"/>
      <selection pane="topRight" activeCell="S28" sqref="S28"/>
    </sheetView>
  </sheetViews>
  <sheetFormatPr defaultColWidth="8.7109375" defaultRowHeight="15" x14ac:dyDescent="0.25"/>
  <cols>
    <col min="1" max="1" width="8.7109375" style="829"/>
    <col min="2" max="2" width="13.7109375" style="829" customWidth="1"/>
    <col min="3" max="3" width="56.42578125" style="829" customWidth="1"/>
    <col min="4" max="4" width="17.28515625" style="829" customWidth="1"/>
    <col min="5" max="5" width="15.85546875" style="829" bestFit="1" customWidth="1"/>
    <col min="6" max="7" width="14.85546875" style="829" customWidth="1"/>
    <col min="8" max="8" width="23" style="829" customWidth="1"/>
    <col min="9" max="9" width="16.5703125" style="829" customWidth="1"/>
    <col min="10" max="10" width="17.42578125" style="829" customWidth="1"/>
    <col min="11" max="11" width="16.42578125" style="829" customWidth="1"/>
    <col min="12" max="12" width="25.140625" style="829" customWidth="1"/>
    <col min="13" max="13" width="22.140625" style="829" customWidth="1"/>
    <col min="14" max="14" width="12.85546875" style="829" customWidth="1"/>
    <col min="15" max="15" width="15.140625" style="829" bestFit="1" customWidth="1"/>
    <col min="16" max="16" width="14.140625" style="829" customWidth="1"/>
    <col min="17" max="17" width="14.28515625" style="829" customWidth="1"/>
    <col min="18" max="18" width="25.7109375" style="829" customWidth="1"/>
    <col min="19" max="19" width="10.7109375" style="829" customWidth="1"/>
    <col min="20" max="20" width="19.28515625" style="829" customWidth="1"/>
    <col min="21" max="21" width="23.28515625" style="829" customWidth="1"/>
    <col min="22" max="22" width="21.85546875" style="829" customWidth="1"/>
    <col min="23" max="23" width="21" style="829" customWidth="1"/>
    <col min="24" max="16384" width="8.7109375" style="829"/>
  </cols>
  <sheetData>
    <row r="1" spans="1:68" x14ac:dyDescent="0.25">
      <c r="B1" s="655" t="s">
        <v>41</v>
      </c>
      <c r="C1" s="24" t="str">
        <f>Info!C2</f>
        <v>სს სილქ ბანკი</v>
      </c>
    </row>
    <row r="2" spans="1:68" x14ac:dyDescent="0.25">
      <c r="B2" s="655" t="s">
        <v>42</v>
      </c>
      <c r="C2" s="657">
        <f>'1. key ratios'!B2</f>
        <v>45382</v>
      </c>
    </row>
    <row r="3" spans="1:68" x14ac:dyDescent="0.25">
      <c r="B3" s="658" t="s">
        <v>729</v>
      </c>
      <c r="C3" s="686"/>
    </row>
    <row r="4" spans="1:68" ht="40.5" customHeight="1" x14ac:dyDescent="0.25">
      <c r="B4" s="658"/>
      <c r="C4" s="686"/>
    </row>
    <row r="5" spans="1:68" ht="24" customHeight="1" x14ac:dyDescent="0.25">
      <c r="B5" s="830" t="s">
        <v>730</v>
      </c>
      <c r="C5" s="830"/>
      <c r="D5" s="831" t="s">
        <v>731</v>
      </c>
      <c r="E5" s="831"/>
      <c r="F5" s="831"/>
      <c r="G5" s="831"/>
      <c r="H5" s="831"/>
      <c r="I5" s="831" t="s">
        <v>582</v>
      </c>
      <c r="J5" s="831"/>
      <c r="K5" s="831"/>
      <c r="L5" s="831"/>
      <c r="M5" s="831"/>
      <c r="N5" s="831" t="s">
        <v>583</v>
      </c>
      <c r="O5" s="831"/>
      <c r="P5" s="831"/>
      <c r="Q5" s="831"/>
      <c r="R5" s="831"/>
      <c r="S5" s="832" t="s">
        <v>732</v>
      </c>
      <c r="T5" s="832" t="s">
        <v>733</v>
      </c>
      <c r="U5" s="832" t="s">
        <v>734</v>
      </c>
      <c r="V5" s="832" t="s">
        <v>735</v>
      </c>
      <c r="W5" s="832" t="s">
        <v>736</v>
      </c>
    </row>
    <row r="6" spans="1:68" ht="45" customHeight="1" x14ac:dyDescent="0.25">
      <c r="B6" s="830"/>
      <c r="C6" s="830"/>
      <c r="D6" s="833"/>
      <c r="E6" s="692" t="s">
        <v>657</v>
      </c>
      <c r="F6" s="692" t="s">
        <v>658</v>
      </c>
      <c r="G6" s="692" t="s">
        <v>659</v>
      </c>
      <c r="H6" s="692" t="s">
        <v>660</v>
      </c>
      <c r="I6" s="833"/>
      <c r="J6" s="692" t="s">
        <v>657</v>
      </c>
      <c r="K6" s="692" t="s">
        <v>658</v>
      </c>
      <c r="L6" s="692" t="s">
        <v>659</v>
      </c>
      <c r="M6" s="692" t="s">
        <v>660</v>
      </c>
      <c r="N6" s="833"/>
      <c r="O6" s="692" t="s">
        <v>657</v>
      </c>
      <c r="P6" s="692" t="s">
        <v>658</v>
      </c>
      <c r="Q6" s="692" t="s">
        <v>659</v>
      </c>
      <c r="R6" s="692" t="s">
        <v>660</v>
      </c>
      <c r="S6" s="832"/>
      <c r="T6" s="832"/>
      <c r="U6" s="832"/>
      <c r="V6" s="832"/>
      <c r="W6" s="832"/>
    </row>
    <row r="7" spans="1:68" x14ac:dyDescent="0.25">
      <c r="B7" s="834">
        <v>1</v>
      </c>
      <c r="C7" s="835" t="s">
        <v>737</v>
      </c>
      <c r="D7" s="836">
        <f t="shared" ref="D7:D19" si="0">E7+F7+G7</f>
        <v>736981.66</v>
      </c>
      <c r="E7" s="823">
        <v>733218.35</v>
      </c>
      <c r="F7" s="823">
        <v>3763.31</v>
      </c>
      <c r="G7" s="823">
        <v>0</v>
      </c>
      <c r="H7" s="823"/>
      <c r="I7" s="823">
        <f t="shared" ref="I7:I18" si="1">SUM(J7:M7)</f>
        <v>748504.82415999996</v>
      </c>
      <c r="J7" s="823">
        <v>744528.24416</v>
      </c>
      <c r="K7" s="823">
        <v>3976.58</v>
      </c>
      <c r="L7" s="823">
        <v>0</v>
      </c>
      <c r="M7" s="823"/>
      <c r="N7" s="823">
        <f t="shared" ref="N7:N18" si="2">O7+P7+Q7</f>
        <v>28726.792630799999</v>
      </c>
      <c r="O7" s="823">
        <v>28567.729430799998</v>
      </c>
      <c r="P7" s="823">
        <v>159.06319999999999</v>
      </c>
      <c r="Q7" s="823">
        <v>0</v>
      </c>
      <c r="R7" s="823">
        <v>0</v>
      </c>
      <c r="S7" s="837">
        <v>55</v>
      </c>
      <c r="T7" s="838">
        <v>0.27507625272331099</v>
      </c>
      <c r="U7" s="838">
        <v>0.32524183006535901</v>
      </c>
      <c r="V7" s="838">
        <v>0.31134534332916702</v>
      </c>
      <c r="W7" s="823">
        <v>25.771576359172801</v>
      </c>
    </row>
    <row r="8" spans="1:68" x14ac:dyDescent="0.25">
      <c r="B8" s="834">
        <v>2</v>
      </c>
      <c r="C8" s="839" t="s">
        <v>602</v>
      </c>
      <c r="D8" s="836">
        <f t="shared" si="0"/>
        <v>17914568.77</v>
      </c>
      <c r="E8" s="823">
        <v>17188368.699999999</v>
      </c>
      <c r="F8" s="823">
        <v>366530.32</v>
      </c>
      <c r="G8" s="823">
        <v>359669.75</v>
      </c>
      <c r="H8" s="823"/>
      <c r="I8" s="823">
        <f t="shared" si="1"/>
        <v>18024417.866530597</v>
      </c>
      <c r="J8" s="823">
        <v>17284565.829441398</v>
      </c>
      <c r="K8" s="823">
        <v>370761.95296839997</v>
      </c>
      <c r="L8" s="823">
        <v>369090.08412080002</v>
      </c>
      <c r="M8" s="823"/>
      <c r="N8" s="823">
        <f t="shared" si="2"/>
        <v>669276.23717145412</v>
      </c>
      <c r="O8" s="823">
        <v>417397.77910187002</v>
      </c>
      <c r="P8" s="823">
        <v>71751.958136583999</v>
      </c>
      <c r="Q8" s="823">
        <v>180126.49993300001</v>
      </c>
      <c r="R8" s="823"/>
      <c r="S8" s="837">
        <v>1991</v>
      </c>
      <c r="T8" s="838">
        <v>0.24258277981818399</v>
      </c>
      <c r="U8" s="838">
        <v>0.28561884449915698</v>
      </c>
      <c r="V8" s="838">
        <v>0.20067551077467899</v>
      </c>
      <c r="W8" s="823">
        <v>42.981657256935499</v>
      </c>
    </row>
    <row r="9" spans="1:68" x14ac:dyDescent="0.25">
      <c r="B9" s="834">
        <v>3</v>
      </c>
      <c r="C9" s="839" t="s">
        <v>738</v>
      </c>
      <c r="D9" s="836">
        <f t="shared" si="0"/>
        <v>14263.5</v>
      </c>
      <c r="E9" s="823">
        <v>12960.19</v>
      </c>
      <c r="F9" s="823">
        <v>277.99</v>
      </c>
      <c r="G9" s="823">
        <v>1025.32</v>
      </c>
      <c r="H9" s="823"/>
      <c r="I9" s="823">
        <f t="shared" si="1"/>
        <v>14316.69</v>
      </c>
      <c r="J9" s="823">
        <v>13010.49</v>
      </c>
      <c r="K9" s="823">
        <v>278.37</v>
      </c>
      <c r="L9" s="823">
        <v>1027.83</v>
      </c>
      <c r="M9" s="823"/>
      <c r="N9" s="823">
        <f t="shared" si="2"/>
        <v>1378.2291421710001</v>
      </c>
      <c r="O9" s="823">
        <v>820.37214201100005</v>
      </c>
      <c r="P9" s="823">
        <v>56.246611829999999</v>
      </c>
      <c r="Q9" s="823">
        <v>501.61038832999998</v>
      </c>
      <c r="R9" s="823"/>
      <c r="S9" s="837">
        <v>58</v>
      </c>
      <c r="T9" s="838">
        <v>0.1</v>
      </c>
      <c r="U9" s="838">
        <v>0.105</v>
      </c>
      <c r="V9" s="838">
        <v>0.123859494988936</v>
      </c>
      <c r="W9" s="823">
        <v>0.435889732824219</v>
      </c>
    </row>
    <row r="10" spans="1:68" x14ac:dyDescent="0.25">
      <c r="B10" s="834">
        <v>4</v>
      </c>
      <c r="C10" s="839" t="s">
        <v>739</v>
      </c>
      <c r="D10" s="836">
        <f t="shared" si="0"/>
        <v>78965.3</v>
      </c>
      <c r="E10" s="823">
        <v>78965.3</v>
      </c>
      <c r="F10" s="823">
        <v>0</v>
      </c>
      <c r="G10" s="823">
        <v>0</v>
      </c>
      <c r="H10" s="823"/>
      <c r="I10" s="823">
        <f t="shared" si="1"/>
        <v>73436.940537839997</v>
      </c>
      <c r="J10" s="823">
        <v>73436.940537839997</v>
      </c>
      <c r="K10" s="823">
        <v>0</v>
      </c>
      <c r="L10" s="823">
        <v>0</v>
      </c>
      <c r="M10" s="823"/>
      <c r="N10" s="823">
        <f t="shared" si="2"/>
        <v>784.24577453899997</v>
      </c>
      <c r="O10" s="823">
        <v>784.24577453899997</v>
      </c>
      <c r="P10" s="823">
        <v>0</v>
      </c>
      <c r="Q10" s="823">
        <v>0</v>
      </c>
      <c r="R10" s="823"/>
      <c r="S10" s="837">
        <v>38</v>
      </c>
      <c r="T10" s="838">
        <v>0</v>
      </c>
      <c r="U10" s="838">
        <v>0</v>
      </c>
      <c r="V10" s="838">
        <v>0.28000000000000003</v>
      </c>
      <c r="W10" s="823">
        <v>8.5326607636518794</v>
      </c>
    </row>
    <row r="11" spans="1:68" x14ac:dyDescent="0.25">
      <c r="B11" s="834">
        <v>5</v>
      </c>
      <c r="C11" s="839" t="s">
        <v>740</v>
      </c>
      <c r="D11" s="836">
        <f t="shared" si="0"/>
        <v>29292.799999999999</v>
      </c>
      <c r="E11" s="823">
        <v>29292.799999999999</v>
      </c>
      <c r="F11" s="823">
        <v>0</v>
      </c>
      <c r="G11" s="823">
        <v>0</v>
      </c>
      <c r="H11" s="823"/>
      <c r="I11" s="823">
        <f t="shared" si="1"/>
        <v>29489.69</v>
      </c>
      <c r="J11" s="823">
        <v>29489.69</v>
      </c>
      <c r="K11" s="823">
        <v>0</v>
      </c>
      <c r="L11" s="823">
        <v>0</v>
      </c>
      <c r="M11" s="823"/>
      <c r="N11" s="823">
        <f t="shared" si="2"/>
        <v>726.94965755999999</v>
      </c>
      <c r="O11" s="823">
        <v>726.94965755999999</v>
      </c>
      <c r="P11" s="823">
        <v>0</v>
      </c>
      <c r="Q11" s="823">
        <v>0</v>
      </c>
      <c r="R11" s="823"/>
      <c r="S11" s="837">
        <v>20</v>
      </c>
      <c r="T11" s="838">
        <v>0.48</v>
      </c>
      <c r="U11" s="838">
        <v>1.62776025236593E-3</v>
      </c>
      <c r="V11" s="838">
        <v>0.16702620364468801</v>
      </c>
      <c r="W11" s="823">
        <v>7.9251179805459699</v>
      </c>
    </row>
    <row r="12" spans="1:68" x14ac:dyDescent="0.25">
      <c r="B12" s="834">
        <v>6</v>
      </c>
      <c r="C12" s="839" t="s">
        <v>741</v>
      </c>
      <c r="D12" s="836">
        <f t="shared" si="0"/>
        <v>58960.33</v>
      </c>
      <c r="E12" s="823">
        <v>58561.440000000002</v>
      </c>
      <c r="F12" s="823">
        <v>398.89</v>
      </c>
      <c r="G12" s="823">
        <v>0</v>
      </c>
      <c r="H12" s="823"/>
      <c r="I12" s="823">
        <f t="shared" si="1"/>
        <v>59752.119999999995</v>
      </c>
      <c r="J12" s="823">
        <v>59322.02</v>
      </c>
      <c r="K12" s="823">
        <v>430.1</v>
      </c>
      <c r="L12" s="823">
        <v>0</v>
      </c>
      <c r="M12" s="823"/>
      <c r="N12" s="823">
        <f t="shared" si="2"/>
        <v>1809.9844090009999</v>
      </c>
      <c r="O12" s="823">
        <v>1683.453808301</v>
      </c>
      <c r="P12" s="823">
        <v>126.53060069999999</v>
      </c>
      <c r="Q12" s="823">
        <v>0</v>
      </c>
      <c r="R12" s="823"/>
      <c r="S12" s="837">
        <v>49</v>
      </c>
      <c r="T12" s="838">
        <v>0</v>
      </c>
      <c r="U12" s="838">
        <v>0</v>
      </c>
      <c r="V12" s="838">
        <v>0.232920986025688</v>
      </c>
      <c r="W12" s="823">
        <v>4.9065609537802697</v>
      </c>
    </row>
    <row r="13" spans="1:68" x14ac:dyDescent="0.25">
      <c r="B13" s="834">
        <v>7</v>
      </c>
      <c r="C13" s="839" t="s">
        <v>742</v>
      </c>
      <c r="D13" s="836">
        <f t="shared" si="0"/>
        <v>2020791.6</v>
      </c>
      <c r="E13" s="823">
        <v>2020791.6</v>
      </c>
      <c r="F13" s="823">
        <v>0</v>
      </c>
      <c r="G13" s="823">
        <v>0</v>
      </c>
      <c r="H13" s="823"/>
      <c r="I13" s="823">
        <f t="shared" si="1"/>
        <v>2032885.44249</v>
      </c>
      <c r="J13" s="823">
        <v>2032885.44249</v>
      </c>
      <c r="K13" s="823">
        <v>0</v>
      </c>
      <c r="L13" s="823">
        <v>0</v>
      </c>
      <c r="M13" s="823"/>
      <c r="N13" s="823">
        <f t="shared" si="2"/>
        <v>50375.593266999997</v>
      </c>
      <c r="O13" s="823">
        <v>50375.593266999997</v>
      </c>
      <c r="P13" s="823">
        <v>0</v>
      </c>
      <c r="Q13" s="823">
        <v>0</v>
      </c>
      <c r="R13" s="823"/>
      <c r="S13" s="837">
        <v>19</v>
      </c>
      <c r="T13" s="838">
        <v>0.13</v>
      </c>
      <c r="U13" s="838">
        <v>0.14000000000000001</v>
      </c>
      <c r="V13" s="838">
        <v>0.140464059277562</v>
      </c>
      <c r="W13" s="823">
        <v>122.578221482611</v>
      </c>
    </row>
    <row r="14" spans="1:68" s="840" customFormat="1" x14ac:dyDescent="0.25">
      <c r="A14" s="840" t="s">
        <v>599</v>
      </c>
      <c r="B14" s="932">
        <v>7.1</v>
      </c>
      <c r="C14" s="933" t="s">
        <v>743</v>
      </c>
      <c r="D14" s="836">
        <f t="shared" si="0"/>
        <v>1470131.26</v>
      </c>
      <c r="E14" s="823">
        <v>1470131.26</v>
      </c>
      <c r="F14" s="823">
        <v>0</v>
      </c>
      <c r="G14" s="823">
        <v>0</v>
      </c>
      <c r="H14" s="823"/>
      <c r="I14" s="823">
        <f t="shared" si="1"/>
        <v>1478645.47581</v>
      </c>
      <c r="J14" s="823">
        <v>1478645.47581</v>
      </c>
      <c r="K14" s="823">
        <v>0</v>
      </c>
      <c r="L14" s="823">
        <v>0</v>
      </c>
      <c r="M14" s="823"/>
      <c r="N14" s="823">
        <f t="shared" si="2"/>
        <v>33930.937292100003</v>
      </c>
      <c r="O14" s="823">
        <v>33930.937292100003</v>
      </c>
      <c r="P14" s="823">
        <v>0</v>
      </c>
      <c r="Q14" s="823">
        <v>0</v>
      </c>
      <c r="R14" s="823"/>
      <c r="S14" s="837">
        <v>10</v>
      </c>
      <c r="T14" s="838">
        <v>0.13</v>
      </c>
      <c r="U14" s="838">
        <v>0.14000000000000001</v>
      </c>
      <c r="V14" s="838">
        <v>0.14299534709574099</v>
      </c>
      <c r="W14" s="823">
        <v>121.948287306672</v>
      </c>
      <c r="X14" s="829"/>
      <c r="Y14" s="829"/>
      <c r="Z14" s="829"/>
      <c r="AA14" s="829"/>
      <c r="AB14" s="829"/>
      <c r="AC14" s="829"/>
      <c r="AD14" s="829"/>
      <c r="AE14" s="829"/>
      <c r="AF14" s="829"/>
      <c r="AG14" s="829"/>
      <c r="AH14" s="829"/>
      <c r="AI14" s="829"/>
      <c r="AJ14" s="829"/>
      <c r="AK14" s="829"/>
      <c r="AL14" s="829"/>
      <c r="AM14" s="829"/>
      <c r="AN14" s="829"/>
      <c r="AO14" s="829"/>
      <c r="AP14" s="829"/>
      <c r="AQ14" s="829"/>
      <c r="AR14" s="829"/>
      <c r="AS14" s="829"/>
      <c r="AT14" s="829"/>
      <c r="AU14" s="829"/>
      <c r="AV14" s="829"/>
      <c r="AW14" s="829"/>
      <c r="AX14" s="829"/>
      <c r="AY14" s="829"/>
      <c r="AZ14" s="829"/>
      <c r="BA14" s="829"/>
      <c r="BB14" s="829"/>
      <c r="BC14" s="829"/>
      <c r="BD14" s="829"/>
      <c r="BE14" s="829"/>
      <c r="BF14" s="829"/>
      <c r="BG14" s="829"/>
      <c r="BH14" s="829"/>
      <c r="BI14" s="829"/>
      <c r="BJ14" s="829"/>
      <c r="BK14" s="829"/>
      <c r="BL14" s="829"/>
      <c r="BM14" s="829"/>
      <c r="BN14" s="829"/>
      <c r="BO14" s="829"/>
      <c r="BP14" s="829"/>
    </row>
    <row r="15" spans="1:68" s="840" customFormat="1" ht="25.5" x14ac:dyDescent="0.25">
      <c r="A15" s="840" t="s">
        <v>744</v>
      </c>
      <c r="B15" s="932">
        <v>7.2</v>
      </c>
      <c r="C15" s="933" t="s">
        <v>745</v>
      </c>
      <c r="D15" s="836">
        <f t="shared" si="0"/>
        <v>230637.38</v>
      </c>
      <c r="E15" s="823">
        <v>230637.38</v>
      </c>
      <c r="F15" s="823">
        <v>0</v>
      </c>
      <c r="G15" s="823">
        <v>0</v>
      </c>
      <c r="H15" s="823"/>
      <c r="I15" s="823">
        <f t="shared" si="1"/>
        <v>231337.5019</v>
      </c>
      <c r="J15" s="823">
        <v>231337.5019</v>
      </c>
      <c r="K15" s="823">
        <v>0</v>
      </c>
      <c r="L15" s="823">
        <v>0</v>
      </c>
      <c r="M15" s="823"/>
      <c r="N15" s="823">
        <f t="shared" si="2"/>
        <v>7389.9430087000001</v>
      </c>
      <c r="O15" s="823">
        <v>7389.9430087000001</v>
      </c>
      <c r="P15" s="823">
        <v>0</v>
      </c>
      <c r="Q15" s="823">
        <v>0</v>
      </c>
      <c r="R15" s="823"/>
      <c r="S15" s="837">
        <v>3</v>
      </c>
      <c r="T15" s="838">
        <v>0</v>
      </c>
      <c r="U15" s="838">
        <v>0</v>
      </c>
      <c r="V15" s="838">
        <v>0.12599999104655099</v>
      </c>
      <c r="W15" s="823">
        <v>147.586118494755</v>
      </c>
      <c r="X15" s="829"/>
      <c r="Y15" s="829"/>
      <c r="Z15" s="829"/>
      <c r="AA15" s="829"/>
      <c r="AB15" s="829"/>
      <c r="AC15" s="829"/>
      <c r="AD15" s="829"/>
      <c r="AE15" s="829"/>
      <c r="AF15" s="829"/>
      <c r="AG15" s="829"/>
      <c r="AH15" s="829"/>
      <c r="AI15" s="829"/>
      <c r="AJ15" s="829"/>
      <c r="AK15" s="829"/>
      <c r="AL15" s="829"/>
      <c r="AM15" s="829"/>
      <c r="AN15" s="829"/>
      <c r="AO15" s="829"/>
      <c r="AP15" s="829"/>
      <c r="AQ15" s="829"/>
      <c r="AR15" s="829"/>
      <c r="AS15" s="829"/>
      <c r="AT15" s="829"/>
      <c r="AU15" s="829"/>
      <c r="AV15" s="829"/>
      <c r="AW15" s="829"/>
      <c r="AX15" s="829"/>
      <c r="AY15" s="829"/>
      <c r="AZ15" s="829"/>
      <c r="BA15" s="829"/>
      <c r="BB15" s="829"/>
      <c r="BC15" s="829"/>
      <c r="BD15" s="829"/>
      <c r="BE15" s="829"/>
      <c r="BF15" s="829"/>
      <c r="BG15" s="829"/>
      <c r="BH15" s="829"/>
      <c r="BI15" s="829"/>
      <c r="BJ15" s="829"/>
      <c r="BK15" s="829"/>
      <c r="BL15" s="829"/>
      <c r="BM15" s="829"/>
      <c r="BN15" s="829"/>
      <c r="BO15" s="829"/>
      <c r="BP15" s="829"/>
    </row>
    <row r="16" spans="1:68" s="840" customFormat="1" x14ac:dyDescent="0.25">
      <c r="A16" s="841" t="s">
        <v>746</v>
      </c>
      <c r="B16" s="932">
        <v>7.3</v>
      </c>
      <c r="C16" s="933" t="s">
        <v>747</v>
      </c>
      <c r="D16" s="836">
        <f t="shared" si="0"/>
        <v>320022.96000000002</v>
      </c>
      <c r="E16" s="823">
        <v>320022.96000000002</v>
      </c>
      <c r="F16" s="823">
        <v>0</v>
      </c>
      <c r="G16" s="823">
        <v>0</v>
      </c>
      <c r="H16" s="823"/>
      <c r="I16" s="823">
        <f t="shared" si="1"/>
        <v>322902.46477999998</v>
      </c>
      <c r="J16" s="823">
        <v>322902.46477999998</v>
      </c>
      <c r="K16" s="823">
        <v>0</v>
      </c>
      <c r="L16" s="823">
        <v>0</v>
      </c>
      <c r="M16" s="823"/>
      <c r="N16" s="823">
        <f t="shared" si="2"/>
        <v>9054.7129662000007</v>
      </c>
      <c r="O16" s="823">
        <v>9054.7129662000007</v>
      </c>
      <c r="P16" s="823">
        <v>0</v>
      </c>
      <c r="Q16" s="823">
        <v>0</v>
      </c>
      <c r="R16" s="823"/>
      <c r="S16" s="837">
        <v>6</v>
      </c>
      <c r="T16" s="838">
        <v>0</v>
      </c>
      <c r="U16" s="838">
        <v>0</v>
      </c>
      <c r="V16" s="838">
        <v>0.139259862714225</v>
      </c>
      <c r="W16" s="823">
        <v>107.4490884904</v>
      </c>
      <c r="X16" s="829"/>
      <c r="Y16" s="829"/>
      <c r="Z16" s="829"/>
      <c r="AA16" s="829"/>
      <c r="AB16" s="829"/>
      <c r="AC16" s="829"/>
      <c r="AD16" s="829"/>
      <c r="AE16" s="829"/>
      <c r="AF16" s="829"/>
      <c r="AG16" s="829"/>
      <c r="AH16" s="829"/>
      <c r="AI16" s="829"/>
      <c r="AJ16" s="829"/>
      <c r="AK16" s="829"/>
      <c r="AL16" s="829"/>
      <c r="AM16" s="829"/>
      <c r="AN16" s="829"/>
      <c r="AO16" s="829"/>
      <c r="AP16" s="829"/>
      <c r="AQ16" s="829"/>
      <c r="AR16" s="829"/>
      <c r="AS16" s="829"/>
      <c r="AT16" s="829"/>
      <c r="AU16" s="829"/>
      <c r="AV16" s="829"/>
      <c r="AW16" s="829"/>
      <c r="AX16" s="829"/>
      <c r="AY16" s="829"/>
      <c r="AZ16" s="829"/>
      <c r="BA16" s="829"/>
      <c r="BB16" s="829"/>
      <c r="BC16" s="829"/>
      <c r="BD16" s="829"/>
      <c r="BE16" s="829"/>
      <c r="BF16" s="829"/>
      <c r="BG16" s="829"/>
      <c r="BH16" s="829"/>
      <c r="BI16" s="829"/>
      <c r="BJ16" s="829"/>
      <c r="BK16" s="829"/>
      <c r="BL16" s="829"/>
      <c r="BM16" s="829"/>
      <c r="BN16" s="829"/>
      <c r="BO16" s="829"/>
      <c r="BP16" s="829"/>
    </row>
    <row r="17" spans="1:23" x14ac:dyDescent="0.25">
      <c r="A17" s="829" t="s">
        <v>748</v>
      </c>
      <c r="B17" s="834">
        <v>8</v>
      </c>
      <c r="C17" s="839" t="s">
        <v>749</v>
      </c>
      <c r="D17" s="836">
        <f t="shared" si="0"/>
        <v>0</v>
      </c>
      <c r="E17" s="823">
        <v>0</v>
      </c>
      <c r="F17" s="823">
        <v>0</v>
      </c>
      <c r="G17" s="823">
        <v>0</v>
      </c>
      <c r="H17" s="823"/>
      <c r="I17" s="823">
        <f t="shared" si="1"/>
        <v>0</v>
      </c>
      <c r="J17" s="823">
        <v>0</v>
      </c>
      <c r="K17" s="823">
        <v>0</v>
      </c>
      <c r="L17" s="823">
        <v>0</v>
      </c>
      <c r="M17" s="823"/>
      <c r="N17" s="823">
        <f t="shared" si="2"/>
        <v>0</v>
      </c>
      <c r="O17" s="823">
        <v>0</v>
      </c>
      <c r="P17" s="823">
        <v>0</v>
      </c>
      <c r="Q17" s="823">
        <v>0</v>
      </c>
      <c r="R17" s="823"/>
      <c r="S17" s="837">
        <v>0</v>
      </c>
      <c r="T17" s="838">
        <v>0</v>
      </c>
      <c r="U17" s="838">
        <v>0</v>
      </c>
      <c r="V17" s="838">
        <v>0</v>
      </c>
      <c r="W17" s="823">
        <v>0</v>
      </c>
    </row>
    <row r="18" spans="1:23" x14ac:dyDescent="0.25">
      <c r="B18" s="842">
        <v>9</v>
      </c>
      <c r="C18" s="843" t="s">
        <v>750</v>
      </c>
      <c r="D18" s="836">
        <f t="shared" si="0"/>
        <v>0</v>
      </c>
      <c r="E18" s="823">
        <v>0</v>
      </c>
      <c r="F18" s="823">
        <v>0</v>
      </c>
      <c r="G18" s="823">
        <v>0</v>
      </c>
      <c r="H18" s="844"/>
      <c r="I18" s="823">
        <f t="shared" si="1"/>
        <v>0</v>
      </c>
      <c r="J18" s="823">
        <v>0</v>
      </c>
      <c r="K18" s="823">
        <v>0</v>
      </c>
      <c r="L18" s="823">
        <v>0</v>
      </c>
      <c r="M18" s="844"/>
      <c r="N18" s="823">
        <f t="shared" si="2"/>
        <v>0</v>
      </c>
      <c r="O18" s="823">
        <v>0</v>
      </c>
      <c r="P18" s="823">
        <v>0</v>
      </c>
      <c r="Q18" s="823">
        <v>0</v>
      </c>
      <c r="R18" s="844"/>
      <c r="S18" s="837">
        <v>0</v>
      </c>
      <c r="T18" s="838">
        <v>0</v>
      </c>
      <c r="U18" s="838">
        <v>0</v>
      </c>
      <c r="V18" s="838">
        <v>0</v>
      </c>
      <c r="W18" s="823">
        <v>0</v>
      </c>
    </row>
    <row r="19" spans="1:23" x14ac:dyDescent="0.25">
      <c r="B19" s="834">
        <v>10</v>
      </c>
      <c r="C19" s="845" t="s">
        <v>751</v>
      </c>
      <c r="D19" s="836">
        <f t="shared" si="0"/>
        <v>20853823.960000008</v>
      </c>
      <c r="E19" s="823">
        <f>SUM(E7:E13,E17,E18)</f>
        <v>20122158.380000006</v>
      </c>
      <c r="F19" s="823">
        <f>SUM(F7:F13,F17,F18)</f>
        <v>370970.51</v>
      </c>
      <c r="G19" s="823">
        <f>SUM(G7:G13,G17,G18)</f>
        <v>360695.07</v>
      </c>
      <c r="H19" s="823"/>
      <c r="I19" s="823">
        <f>SUM(I7:I13,I17,I18)</f>
        <v>20982803.57371844</v>
      </c>
      <c r="J19" s="823">
        <f>SUM(J7:J13,J17,J18)</f>
        <v>20237238.656629238</v>
      </c>
      <c r="K19" s="823">
        <f>SUM(K7:K13,K17,K18)</f>
        <v>375447.00296839996</v>
      </c>
      <c r="L19" s="823">
        <f>SUM(L7:L13,L17,L18)</f>
        <v>370117.91412080004</v>
      </c>
      <c r="M19" s="823"/>
      <c r="N19" s="823">
        <f>SUM(N7:N13,N17,N18)</f>
        <v>753078.03205252509</v>
      </c>
      <c r="O19" s="823">
        <f>SUM(O7:O13,O17,O18)</f>
        <v>500356.12318208104</v>
      </c>
      <c r="P19" s="823">
        <f>SUM(P7:P13,P17,P18)</f>
        <v>72093.798549114013</v>
      </c>
      <c r="Q19" s="823">
        <f>SUM(Q7:Q13,Q17,Q18)</f>
        <v>180628.11032133002</v>
      </c>
      <c r="R19" s="823"/>
      <c r="S19" s="837">
        <v>2230</v>
      </c>
      <c r="T19" s="838">
        <v>0.24093539717637999</v>
      </c>
      <c r="U19" s="838">
        <v>0.283338078099165</v>
      </c>
      <c r="V19" s="838">
        <v>0.19874094345106699</v>
      </c>
      <c r="W19" s="824">
        <v>49.773636139506699</v>
      </c>
    </row>
    <row r="20" spans="1:23" ht="25.5" x14ac:dyDescent="0.25">
      <c r="B20" s="846">
        <v>10.1</v>
      </c>
      <c r="C20" s="847" t="s">
        <v>752</v>
      </c>
      <c r="D20" s="837"/>
      <c r="E20" s="823"/>
      <c r="F20" s="823"/>
      <c r="G20" s="823"/>
      <c r="H20" s="823"/>
      <c r="I20" s="823">
        <f t="shared" ref="I20" si="3">SUM(J20:M20)</f>
        <v>0</v>
      </c>
      <c r="J20" s="823"/>
      <c r="K20" s="823"/>
      <c r="L20" s="823"/>
      <c r="M20" s="823"/>
      <c r="N20" s="823">
        <f t="shared" ref="N20" si="4">O20+P20+Q20</f>
        <v>0</v>
      </c>
      <c r="O20" s="823"/>
      <c r="P20" s="823"/>
      <c r="Q20" s="823"/>
      <c r="R20" s="823"/>
      <c r="S20" s="837"/>
      <c r="T20" s="837"/>
      <c r="U20" s="837"/>
      <c r="V20" s="837"/>
      <c r="W20" s="837"/>
    </row>
    <row r="22" spans="1:23" s="926" customFormat="1" x14ac:dyDescent="0.25">
      <c r="C22" s="927"/>
      <c r="D22" s="928"/>
    </row>
    <row r="23" spans="1:23" s="853" customFormat="1" x14ac:dyDescent="0.25">
      <c r="D23" s="863"/>
      <c r="E23" s="863"/>
      <c r="F23" s="863"/>
      <c r="G23" s="863"/>
      <c r="H23" s="863"/>
      <c r="I23" s="863"/>
      <c r="J23" s="863"/>
      <c r="K23" s="863"/>
      <c r="L23" s="863"/>
      <c r="M23" s="863"/>
      <c r="N23" s="863"/>
      <c r="O23" s="863"/>
      <c r="P23" s="863"/>
      <c r="Q23" s="863"/>
      <c r="R23" s="863"/>
      <c r="S23" s="863"/>
      <c r="T23" s="929"/>
      <c r="U23" s="929"/>
      <c r="V23" s="930"/>
      <c r="W23" s="931"/>
    </row>
    <row r="24" spans="1:23" s="926" customFormat="1" x14ac:dyDescent="0.25">
      <c r="D24" s="928"/>
    </row>
    <row r="25" spans="1:23" s="926" customFormat="1" x14ac:dyDescent="0.25">
      <c r="D25" s="928"/>
      <c r="E25" s="928"/>
    </row>
    <row r="26" spans="1:23" s="926" customFormat="1" x14ac:dyDescent="0.25">
      <c r="I26" s="928"/>
    </row>
    <row r="27" spans="1:23" s="926" customFormat="1" x14ac:dyDescent="0.25">
      <c r="I27" s="928"/>
    </row>
  </sheetData>
  <mergeCells count="9">
    <mergeCell ref="U5:U6"/>
    <mergeCell ref="V5:V6"/>
    <mergeCell ref="W5:W6"/>
    <mergeCell ref="B5:C6"/>
    <mergeCell ref="D5:H5"/>
    <mergeCell ref="I5:M5"/>
    <mergeCell ref="N5:R5"/>
    <mergeCell ref="S5:S6"/>
    <mergeCell ref="T5:T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994B-F1EA-4904-B274-8DA3E6561A25}">
  <dimension ref="A1:J75"/>
  <sheetViews>
    <sheetView zoomScaleNormal="100" workbookViewId="0">
      <selection activeCell="C7" sqref="C7:H69"/>
    </sheetView>
  </sheetViews>
  <sheetFormatPr defaultRowHeight="15" x14ac:dyDescent="0.25"/>
  <cols>
    <col min="1" max="1" width="9.140625" style="173"/>
    <col min="2" max="2" width="69.28515625" style="174" customWidth="1"/>
    <col min="3" max="3" width="15.7109375" style="59" customWidth="1"/>
    <col min="4" max="4" width="14.42578125" style="59" customWidth="1"/>
    <col min="5" max="5" width="13.140625" style="59" customWidth="1"/>
    <col min="6" max="6" width="15.140625" style="59" customWidth="1"/>
    <col min="7" max="7" width="13.42578125" style="59" customWidth="1"/>
    <col min="8" max="8" width="13.140625" style="59" customWidth="1"/>
    <col min="9" max="9" width="3" customWidth="1"/>
    <col min="10" max="10" width="13.7109375" customWidth="1"/>
  </cols>
  <sheetData>
    <row r="1" spans="1:10" ht="15.75" x14ac:dyDescent="0.3">
      <c r="A1" s="23" t="s">
        <v>41</v>
      </c>
      <c r="B1" s="24" t="str">
        <f>Info!C2</f>
        <v>სს სილქ ბანკი</v>
      </c>
      <c r="C1" s="130"/>
      <c r="D1" s="131"/>
      <c r="E1" s="131"/>
      <c r="F1" s="131"/>
      <c r="G1" s="131"/>
    </row>
    <row r="2" spans="1:10" ht="15.75" x14ac:dyDescent="0.3">
      <c r="A2" s="23" t="s">
        <v>42</v>
      </c>
      <c r="B2" s="26">
        <f>'1. key ratios'!B2</f>
        <v>45382</v>
      </c>
      <c r="C2" s="130"/>
      <c r="D2" s="131"/>
      <c r="E2" s="131"/>
      <c r="F2" s="131"/>
      <c r="G2" s="131"/>
    </row>
    <row r="3" spans="1:10" ht="16.5" thickBot="1" x14ac:dyDescent="0.35">
      <c r="A3" s="23"/>
      <c r="B3" s="25"/>
      <c r="C3" s="130"/>
      <c r="D3" s="131"/>
      <c r="E3" s="131"/>
      <c r="F3" s="131"/>
      <c r="G3" s="131"/>
    </row>
    <row r="4" spans="1:10" ht="40.5" customHeight="1" x14ac:dyDescent="0.25">
      <c r="A4" s="132" t="s">
        <v>46</v>
      </c>
      <c r="B4" s="133" t="s">
        <v>91</v>
      </c>
      <c r="C4" s="134" t="s">
        <v>92</v>
      </c>
      <c r="D4" s="134"/>
      <c r="E4" s="134"/>
      <c r="F4" s="134" t="s">
        <v>93</v>
      </c>
      <c r="G4" s="134"/>
      <c r="H4" s="135"/>
      <c r="J4" s="136"/>
    </row>
    <row r="5" spans="1:10" ht="21" customHeight="1" x14ac:dyDescent="0.25">
      <c r="A5" s="132"/>
      <c r="B5" s="137"/>
      <c r="C5" s="138" t="s">
        <v>94</v>
      </c>
      <c r="D5" s="138" t="s">
        <v>95</v>
      </c>
      <c r="E5" s="138" t="s">
        <v>96</v>
      </c>
      <c r="F5" s="138" t="s">
        <v>94</v>
      </c>
      <c r="G5" s="138" t="s">
        <v>95</v>
      </c>
      <c r="H5" s="138" t="s">
        <v>96</v>
      </c>
    </row>
    <row r="6" spans="1:10" ht="26.45" customHeight="1" x14ac:dyDescent="0.25">
      <c r="A6" s="132"/>
      <c r="B6" s="139" t="s">
        <v>97</v>
      </c>
      <c r="C6" s="140"/>
      <c r="D6" s="141"/>
      <c r="E6" s="141"/>
      <c r="F6" s="141"/>
      <c r="G6" s="141"/>
      <c r="H6" s="142"/>
    </row>
    <row r="7" spans="1:10" ht="23.1" customHeight="1" x14ac:dyDescent="0.25">
      <c r="A7" s="143">
        <v>1</v>
      </c>
      <c r="B7" s="144" t="s">
        <v>98</v>
      </c>
      <c r="C7" s="145">
        <f>SUM(C8:C10)</f>
        <v>48727859.480488531</v>
      </c>
      <c r="D7" s="145">
        <f>SUM(D8:D10)</f>
        <v>8146041.0899999924</v>
      </c>
      <c r="E7" s="146">
        <f>C7+D7</f>
        <v>56873900.570488527</v>
      </c>
      <c r="F7" s="145">
        <v>5396356.2400000039</v>
      </c>
      <c r="G7" s="145">
        <v>7142542.9000000013</v>
      </c>
      <c r="H7" s="146">
        <f>F7+G7</f>
        <v>12538899.140000004</v>
      </c>
      <c r="J7" s="59"/>
    </row>
    <row r="8" spans="1:10" x14ac:dyDescent="0.25">
      <c r="A8" s="143">
        <v>1.1000000000000001</v>
      </c>
      <c r="B8" s="147" t="s">
        <v>99</v>
      </c>
      <c r="C8" s="145">
        <v>845031.09999999963</v>
      </c>
      <c r="D8" s="145">
        <v>2620496.5399999986</v>
      </c>
      <c r="E8" s="146">
        <f t="shared" ref="E8:E36" si="0">C8+D8</f>
        <v>3465527.6399999983</v>
      </c>
      <c r="F8" s="145">
        <v>985348.63000000129</v>
      </c>
      <c r="G8" s="145">
        <v>1586475.949999999</v>
      </c>
      <c r="H8" s="146">
        <f t="shared" ref="H8:H36" si="1">F8+G8</f>
        <v>2571824.58</v>
      </c>
    </row>
    <row r="9" spans="1:10" x14ac:dyDescent="0.25">
      <c r="A9" s="143">
        <v>1.2</v>
      </c>
      <c r="B9" s="147" t="s">
        <v>100</v>
      </c>
      <c r="C9" s="145">
        <v>1206570.6900000274</v>
      </c>
      <c r="D9" s="145">
        <v>2291929.2700000014</v>
      </c>
      <c r="E9" s="146">
        <f t="shared" si="0"/>
        <v>3498499.9600000288</v>
      </c>
      <c r="F9" s="145">
        <v>559640.31000000238</v>
      </c>
      <c r="G9" s="145">
        <v>2931982.8800000004</v>
      </c>
      <c r="H9" s="146">
        <f t="shared" si="1"/>
        <v>3491623.1900000027</v>
      </c>
    </row>
    <row r="10" spans="1:10" x14ac:dyDescent="0.25">
      <c r="A10" s="143">
        <v>1.3</v>
      </c>
      <c r="B10" s="147" t="s">
        <v>101</v>
      </c>
      <c r="C10" s="148">
        <v>46676257.690488502</v>
      </c>
      <c r="D10" s="148">
        <v>3233615.2799999919</v>
      </c>
      <c r="E10" s="146">
        <f t="shared" si="0"/>
        <v>49909872.970488496</v>
      </c>
      <c r="F10" s="145">
        <v>3851367.3</v>
      </c>
      <c r="G10" s="145">
        <v>2624084.0700000022</v>
      </c>
      <c r="H10" s="146">
        <f t="shared" si="1"/>
        <v>6475451.370000002</v>
      </c>
    </row>
    <row r="11" spans="1:10" x14ac:dyDescent="0.25">
      <c r="A11" s="143">
        <v>2</v>
      </c>
      <c r="B11" s="149" t="s">
        <v>102</v>
      </c>
      <c r="C11" s="145">
        <f>C12</f>
        <v>237228.68790341541</v>
      </c>
      <c r="D11" s="145">
        <f>D12</f>
        <v>32870</v>
      </c>
      <c r="E11" s="146">
        <f t="shared" si="0"/>
        <v>270098.68790341541</v>
      </c>
      <c r="F11" s="145">
        <v>97346.140285255504</v>
      </c>
      <c r="G11" s="145">
        <v>0</v>
      </c>
      <c r="H11" s="146">
        <f t="shared" si="1"/>
        <v>97346.140285255504</v>
      </c>
      <c r="J11" s="59"/>
    </row>
    <row r="12" spans="1:10" x14ac:dyDescent="0.25">
      <c r="A12" s="143">
        <v>2.1</v>
      </c>
      <c r="B12" s="150" t="s">
        <v>103</v>
      </c>
      <c r="C12" s="145">
        <v>237228.68790341541</v>
      </c>
      <c r="D12" s="145">
        <v>32870</v>
      </c>
      <c r="E12" s="146">
        <f t="shared" si="0"/>
        <v>270098.68790341541</v>
      </c>
      <c r="F12" s="145">
        <v>97346.140285255504</v>
      </c>
      <c r="G12" s="145">
        <v>0</v>
      </c>
      <c r="H12" s="146">
        <f t="shared" si="1"/>
        <v>97346.140285255504</v>
      </c>
    </row>
    <row r="13" spans="1:10" ht="26.45" customHeight="1" x14ac:dyDescent="0.25">
      <c r="A13" s="143">
        <v>3</v>
      </c>
      <c r="B13" s="151" t="s">
        <v>104</v>
      </c>
      <c r="C13" s="145"/>
      <c r="D13" s="145"/>
      <c r="E13" s="146">
        <f t="shared" si="0"/>
        <v>0</v>
      </c>
      <c r="F13" s="145"/>
      <c r="G13" s="145"/>
      <c r="H13" s="146">
        <f t="shared" si="1"/>
        <v>0</v>
      </c>
    </row>
    <row r="14" spans="1:10" ht="26.45" customHeight="1" x14ac:dyDescent="0.25">
      <c r="A14" s="143">
        <v>4</v>
      </c>
      <c r="B14" s="152" t="s">
        <v>105</v>
      </c>
      <c r="C14" s="145"/>
      <c r="D14" s="145"/>
      <c r="E14" s="146">
        <f t="shared" si="0"/>
        <v>0</v>
      </c>
      <c r="F14" s="145"/>
      <c r="G14" s="145"/>
      <c r="H14" s="146">
        <f t="shared" si="1"/>
        <v>0</v>
      </c>
    </row>
    <row r="15" spans="1:10" ht="24.6" customHeight="1" x14ac:dyDescent="0.25">
      <c r="A15" s="143">
        <v>5</v>
      </c>
      <c r="B15" s="152" t="s">
        <v>106</v>
      </c>
      <c r="C15" s="153">
        <f>SUM(C16:C18)</f>
        <v>20000</v>
      </c>
      <c r="D15" s="153">
        <f>SUM(D16:D18)</f>
        <v>0</v>
      </c>
      <c r="E15" s="154">
        <f t="shared" si="0"/>
        <v>20000</v>
      </c>
      <c r="F15" s="153">
        <v>20000</v>
      </c>
      <c r="G15" s="153">
        <v>0</v>
      </c>
      <c r="H15" s="154">
        <f t="shared" si="1"/>
        <v>20000</v>
      </c>
    </row>
    <row r="16" spans="1:10" x14ac:dyDescent="0.25">
      <c r="A16" s="143">
        <v>5.0999999999999996</v>
      </c>
      <c r="B16" s="155" t="s">
        <v>107</v>
      </c>
      <c r="C16" s="145">
        <v>20000</v>
      </c>
      <c r="D16" s="145"/>
      <c r="E16" s="146">
        <f t="shared" si="0"/>
        <v>20000</v>
      </c>
      <c r="F16" s="145">
        <v>20000</v>
      </c>
      <c r="G16" s="145"/>
      <c r="H16" s="146">
        <f t="shared" si="1"/>
        <v>20000</v>
      </c>
    </row>
    <row r="17" spans="1:10" x14ac:dyDescent="0.25">
      <c r="A17" s="143">
        <v>5.2</v>
      </c>
      <c r="B17" s="155" t="s">
        <v>108</v>
      </c>
      <c r="C17" s="145"/>
      <c r="D17" s="145"/>
      <c r="E17" s="146">
        <f t="shared" si="0"/>
        <v>0</v>
      </c>
      <c r="F17" s="145"/>
      <c r="G17" s="145"/>
      <c r="H17" s="146">
        <f t="shared" si="1"/>
        <v>0</v>
      </c>
    </row>
    <row r="18" spans="1:10" x14ac:dyDescent="0.25">
      <c r="A18" s="143">
        <v>5.3</v>
      </c>
      <c r="B18" s="155" t="s">
        <v>109</v>
      </c>
      <c r="C18" s="145"/>
      <c r="D18" s="145"/>
      <c r="E18" s="146">
        <f t="shared" si="0"/>
        <v>0</v>
      </c>
      <c r="F18" s="145"/>
      <c r="G18" s="145"/>
      <c r="H18" s="146">
        <f t="shared" si="1"/>
        <v>0</v>
      </c>
    </row>
    <row r="19" spans="1:10" x14ac:dyDescent="0.25">
      <c r="A19" s="143">
        <v>6</v>
      </c>
      <c r="B19" s="151" t="s">
        <v>110</v>
      </c>
      <c r="C19" s="145">
        <f>SUM(C20:C21)</f>
        <v>69178145.411326706</v>
      </c>
      <c r="D19" s="145">
        <f>SUM(D20:D21)</f>
        <v>27121459.662280895</v>
      </c>
      <c r="E19" s="146">
        <f t="shared" si="0"/>
        <v>96299605.073607594</v>
      </c>
      <c r="F19" s="145">
        <v>35288073.739832297</v>
      </c>
      <c r="G19" s="145">
        <v>7095553.497613051</v>
      </c>
      <c r="H19" s="146">
        <f t="shared" si="1"/>
        <v>42383627.237445347</v>
      </c>
      <c r="J19" s="59"/>
    </row>
    <row r="20" spans="1:10" x14ac:dyDescent="0.25">
      <c r="A20" s="143">
        <v>6.1</v>
      </c>
      <c r="B20" s="155" t="s">
        <v>108</v>
      </c>
      <c r="C20" s="145">
        <v>24308413.891369052</v>
      </c>
      <c r="D20" s="145">
        <v>2268276.397196</v>
      </c>
      <c r="E20" s="146">
        <f t="shared" si="0"/>
        <v>26576690.288565051</v>
      </c>
      <c r="F20" s="145">
        <v>24839873.318004835</v>
      </c>
      <c r="G20" s="145"/>
      <c r="H20" s="146">
        <f t="shared" si="1"/>
        <v>24839873.318004835</v>
      </c>
    </row>
    <row r="21" spans="1:10" x14ac:dyDescent="0.25">
      <c r="A21" s="143">
        <v>6.2</v>
      </c>
      <c r="B21" s="155" t="s">
        <v>109</v>
      </c>
      <c r="C21" s="145">
        <v>44869731.519957662</v>
      </c>
      <c r="D21" s="145">
        <v>24853183.265084896</v>
      </c>
      <c r="E21" s="146">
        <f t="shared" si="0"/>
        <v>69722914.785042554</v>
      </c>
      <c r="F21" s="148">
        <v>10448200.421827463</v>
      </c>
      <c r="G21" s="148">
        <v>7095553.497613051</v>
      </c>
      <c r="H21" s="146">
        <f t="shared" si="1"/>
        <v>17543753.919440515</v>
      </c>
    </row>
    <row r="22" spans="1:10" x14ac:dyDescent="0.25">
      <c r="A22" s="143">
        <v>7</v>
      </c>
      <c r="B22" s="156" t="s">
        <v>111</v>
      </c>
      <c r="C22" s="145"/>
      <c r="D22" s="145"/>
      <c r="E22" s="146">
        <f t="shared" si="0"/>
        <v>0</v>
      </c>
      <c r="F22" s="145"/>
      <c r="G22" s="145"/>
      <c r="H22" s="146">
        <f t="shared" si="1"/>
        <v>0</v>
      </c>
    </row>
    <row r="23" spans="1:10" ht="21" x14ac:dyDescent="0.25">
      <c r="A23" s="143">
        <v>8</v>
      </c>
      <c r="B23" s="157" t="s">
        <v>112</v>
      </c>
      <c r="C23" s="145">
        <v>3415583.8600753136</v>
      </c>
      <c r="D23" s="145">
        <v>0</v>
      </c>
      <c r="E23" s="146">
        <f t="shared" si="0"/>
        <v>3415583.8600753136</v>
      </c>
      <c r="F23" s="145">
        <v>3389411.9415073614</v>
      </c>
      <c r="G23" s="145">
        <v>0</v>
      </c>
      <c r="H23" s="146">
        <f t="shared" si="1"/>
        <v>3389411.9415073614</v>
      </c>
      <c r="J23" s="59"/>
    </row>
    <row r="24" spans="1:10" x14ac:dyDescent="0.25">
      <c r="A24" s="143">
        <v>9</v>
      </c>
      <c r="B24" s="152" t="s">
        <v>113</v>
      </c>
      <c r="C24" s="145">
        <f>SUM(C25:C26)</f>
        <v>17187770.360000003</v>
      </c>
      <c r="D24" s="145">
        <f>SUM(D25:D26)</f>
        <v>0</v>
      </c>
      <c r="E24" s="146">
        <f>C24+D24</f>
        <v>17187770.360000003</v>
      </c>
      <c r="F24" s="145">
        <v>19175030.120000005</v>
      </c>
      <c r="G24" s="145">
        <v>0</v>
      </c>
      <c r="H24" s="146">
        <f t="shared" si="1"/>
        <v>19175030.120000005</v>
      </c>
      <c r="J24" s="59"/>
    </row>
    <row r="25" spans="1:10" x14ac:dyDescent="0.25">
      <c r="A25" s="143">
        <v>9.1</v>
      </c>
      <c r="B25" s="158" t="s">
        <v>114</v>
      </c>
      <c r="C25" s="145">
        <v>17187770.360000003</v>
      </c>
      <c r="D25" s="145"/>
      <c r="E25" s="146">
        <f>C25+D25</f>
        <v>17187770.360000003</v>
      </c>
      <c r="F25" s="145">
        <v>19175030.120000005</v>
      </c>
      <c r="G25" s="145"/>
      <c r="H25" s="146">
        <f t="shared" si="1"/>
        <v>19175030.120000005</v>
      </c>
      <c r="J25" s="59"/>
    </row>
    <row r="26" spans="1:10" x14ac:dyDescent="0.25">
      <c r="A26" s="143">
        <v>9.1999999999999993</v>
      </c>
      <c r="B26" s="158" t="s">
        <v>115</v>
      </c>
      <c r="C26" s="145"/>
      <c r="D26" s="145"/>
      <c r="E26" s="146">
        <f>C26+D26</f>
        <v>0</v>
      </c>
      <c r="F26" s="145"/>
      <c r="G26" s="145"/>
      <c r="H26" s="146">
        <f t="shared" si="1"/>
        <v>0</v>
      </c>
      <c r="J26" s="59"/>
    </row>
    <row r="27" spans="1:10" x14ac:dyDescent="0.25">
      <c r="A27" s="143">
        <v>10</v>
      </c>
      <c r="B27" s="152" t="s">
        <v>116</v>
      </c>
      <c r="C27" s="145">
        <f>SUM(C28:C29)</f>
        <v>1230937.5900000008</v>
      </c>
      <c r="D27" s="145">
        <f>SUM(D28:D29)</f>
        <v>0</v>
      </c>
      <c r="E27" s="146">
        <f t="shared" si="0"/>
        <v>1230937.5900000008</v>
      </c>
      <c r="F27" s="145">
        <v>776498.50000000023</v>
      </c>
      <c r="G27" s="145">
        <v>0</v>
      </c>
      <c r="H27" s="146">
        <f t="shared" si="1"/>
        <v>776498.50000000023</v>
      </c>
      <c r="J27" s="59"/>
    </row>
    <row r="28" spans="1:10" x14ac:dyDescent="0.25">
      <c r="A28" s="143">
        <v>10.1</v>
      </c>
      <c r="B28" s="158" t="s">
        <v>117</v>
      </c>
      <c r="C28" s="145"/>
      <c r="D28" s="145"/>
      <c r="E28" s="146">
        <f t="shared" si="0"/>
        <v>0</v>
      </c>
      <c r="F28" s="145"/>
      <c r="G28" s="145"/>
      <c r="H28" s="146">
        <f t="shared" si="1"/>
        <v>0</v>
      </c>
      <c r="J28" s="59"/>
    </row>
    <row r="29" spans="1:10" x14ac:dyDescent="0.25">
      <c r="A29" s="143">
        <v>10.199999999999999</v>
      </c>
      <c r="B29" s="158" t="s">
        <v>118</v>
      </c>
      <c r="C29" s="145">
        <v>1230937.5900000008</v>
      </c>
      <c r="D29" s="145"/>
      <c r="E29" s="146">
        <f t="shared" si="0"/>
        <v>1230937.5900000008</v>
      </c>
      <c r="F29" s="145">
        <v>776498.50000000023</v>
      </c>
      <c r="G29" s="145"/>
      <c r="H29" s="146">
        <f t="shared" si="1"/>
        <v>776498.50000000023</v>
      </c>
      <c r="J29" s="59"/>
    </row>
    <row r="30" spans="1:10" x14ac:dyDescent="0.25">
      <c r="A30" s="143">
        <v>11</v>
      </c>
      <c r="B30" s="152" t="s">
        <v>119</v>
      </c>
      <c r="C30" s="145">
        <f>SUM(C31:C32)</f>
        <v>45248.5</v>
      </c>
      <c r="D30" s="145">
        <f>SUM(D31:D32)</f>
        <v>0</v>
      </c>
      <c r="E30" s="146">
        <f t="shared" si="0"/>
        <v>45248.5</v>
      </c>
      <c r="F30" s="145">
        <v>45248.5</v>
      </c>
      <c r="G30" s="145">
        <v>0</v>
      </c>
      <c r="H30" s="146">
        <f t="shared" si="1"/>
        <v>45248.5</v>
      </c>
      <c r="J30" s="59"/>
    </row>
    <row r="31" spans="1:10" x14ac:dyDescent="0.25">
      <c r="A31" s="143">
        <v>11.1</v>
      </c>
      <c r="B31" s="158" t="s">
        <v>120</v>
      </c>
      <c r="C31" s="145">
        <v>45248.5</v>
      </c>
      <c r="D31" s="145"/>
      <c r="E31" s="146">
        <f t="shared" si="0"/>
        <v>45248.5</v>
      </c>
      <c r="F31" s="145">
        <v>45248.5</v>
      </c>
      <c r="G31" s="145"/>
      <c r="H31" s="146">
        <f t="shared" si="1"/>
        <v>45248.5</v>
      </c>
      <c r="J31" s="59"/>
    </row>
    <row r="32" spans="1:10" x14ac:dyDescent="0.25">
      <c r="A32" s="143">
        <v>11.2</v>
      </c>
      <c r="B32" s="158" t="s">
        <v>121</v>
      </c>
      <c r="C32" s="145"/>
      <c r="D32" s="145"/>
      <c r="E32" s="146">
        <f t="shared" si="0"/>
        <v>0</v>
      </c>
      <c r="F32" s="145"/>
      <c r="G32" s="145"/>
      <c r="H32" s="146">
        <f t="shared" si="1"/>
        <v>0</v>
      </c>
      <c r="J32" s="59"/>
    </row>
    <row r="33" spans="1:10" x14ac:dyDescent="0.25">
      <c r="A33" s="143">
        <v>13</v>
      </c>
      <c r="B33" s="152" t="s">
        <v>122</v>
      </c>
      <c r="C33" s="148">
        <v>5097179.74</v>
      </c>
      <c r="D33" s="148">
        <v>42775.08</v>
      </c>
      <c r="E33" s="146">
        <f t="shared" si="0"/>
        <v>5139954.82</v>
      </c>
      <c r="F33" s="145">
        <v>1064695</v>
      </c>
      <c r="G33" s="145">
        <v>4656.5</v>
      </c>
      <c r="H33" s="146">
        <f t="shared" si="1"/>
        <v>1069351.5</v>
      </c>
      <c r="J33" s="59"/>
    </row>
    <row r="34" spans="1:10" x14ac:dyDescent="0.25">
      <c r="A34" s="143">
        <v>13.1</v>
      </c>
      <c r="B34" s="159" t="s">
        <v>123</v>
      </c>
      <c r="C34" s="145"/>
      <c r="D34" s="145"/>
      <c r="E34" s="146">
        <f t="shared" si="0"/>
        <v>0</v>
      </c>
      <c r="F34" s="145"/>
      <c r="G34" s="145"/>
      <c r="H34" s="146">
        <f t="shared" si="1"/>
        <v>0</v>
      </c>
      <c r="J34" s="59"/>
    </row>
    <row r="35" spans="1:10" x14ac:dyDescent="0.25">
      <c r="A35" s="143">
        <v>13.2</v>
      </c>
      <c r="B35" s="159" t="s">
        <v>124</v>
      </c>
      <c r="C35" s="145"/>
      <c r="D35" s="145"/>
      <c r="E35" s="146">
        <f t="shared" si="0"/>
        <v>0</v>
      </c>
      <c r="F35" s="145"/>
      <c r="G35" s="145"/>
      <c r="H35" s="146">
        <f t="shared" si="1"/>
        <v>0</v>
      </c>
      <c r="J35" s="59"/>
    </row>
    <row r="36" spans="1:10" x14ac:dyDescent="0.25">
      <c r="A36" s="143">
        <v>14</v>
      </c>
      <c r="B36" s="160" t="s">
        <v>125</v>
      </c>
      <c r="C36" s="145">
        <f>SUM(C7,C11,C13,C14,C15,C19,C22,C23,C24,C27,C30,C33)</f>
        <v>145139953.62979397</v>
      </c>
      <c r="D36" s="145">
        <f>SUM(D7,D11,D13,D14,D15,D19,D22,D23,D24,D27,D30,D33)</f>
        <v>35343145.832280889</v>
      </c>
      <c r="E36" s="146">
        <f t="shared" si="0"/>
        <v>180483099.46207488</v>
      </c>
      <c r="F36" s="145">
        <v>65252660.181624927</v>
      </c>
      <c r="G36" s="145">
        <v>14242752.897613052</v>
      </c>
      <c r="H36" s="146">
        <f t="shared" si="1"/>
        <v>79495413.079237983</v>
      </c>
      <c r="J36" s="59"/>
    </row>
    <row r="37" spans="1:10" ht="22.5" customHeight="1" x14ac:dyDescent="0.25">
      <c r="A37" s="143"/>
      <c r="B37" s="161" t="s">
        <v>126</v>
      </c>
      <c r="C37" s="162"/>
      <c r="D37" s="163"/>
      <c r="E37" s="163"/>
      <c r="F37" s="163"/>
      <c r="G37" s="163"/>
      <c r="H37" s="164"/>
    </row>
    <row r="38" spans="1:10" x14ac:dyDescent="0.25">
      <c r="A38" s="143">
        <v>15</v>
      </c>
      <c r="B38" s="165" t="s">
        <v>127</v>
      </c>
      <c r="C38" s="145">
        <f>C39</f>
        <v>2155</v>
      </c>
      <c r="D38" s="145">
        <f>D39</f>
        <v>0</v>
      </c>
      <c r="E38" s="146">
        <f>C38+D38</f>
        <v>2155</v>
      </c>
      <c r="F38" s="145">
        <v>9463.2085039999802</v>
      </c>
      <c r="G38" s="145">
        <v>900</v>
      </c>
      <c r="H38" s="146">
        <f>F38+G38</f>
        <v>10363.20850399998</v>
      </c>
    </row>
    <row r="39" spans="1:10" x14ac:dyDescent="0.25">
      <c r="A39" s="143">
        <v>15.1</v>
      </c>
      <c r="B39" s="150" t="s">
        <v>103</v>
      </c>
      <c r="C39" s="145">
        <v>2155</v>
      </c>
      <c r="D39" s="145">
        <v>0</v>
      </c>
      <c r="E39" s="146">
        <f t="shared" ref="E39:E53" si="2">C39+D39</f>
        <v>2155</v>
      </c>
      <c r="F39" s="145">
        <v>9463.2085039999802</v>
      </c>
      <c r="G39" s="145">
        <v>900</v>
      </c>
      <c r="H39" s="146">
        <f t="shared" ref="H39:H53" si="3">F39+G39</f>
        <v>10363.20850399998</v>
      </c>
      <c r="J39" s="59"/>
    </row>
    <row r="40" spans="1:10" ht="24" customHeight="1" x14ac:dyDescent="0.25">
      <c r="A40" s="143">
        <v>16</v>
      </c>
      <c r="B40" s="166" t="s">
        <v>128</v>
      </c>
      <c r="C40" s="145"/>
      <c r="D40" s="145"/>
      <c r="E40" s="146">
        <f t="shared" si="2"/>
        <v>0</v>
      </c>
      <c r="F40" s="145"/>
      <c r="G40" s="145"/>
      <c r="H40" s="146">
        <f t="shared" si="3"/>
        <v>0</v>
      </c>
      <c r="J40" s="136"/>
    </row>
    <row r="41" spans="1:10" ht="21" x14ac:dyDescent="0.25">
      <c r="A41" s="143">
        <v>17</v>
      </c>
      <c r="B41" s="166" t="s">
        <v>129</v>
      </c>
      <c r="C41" s="145">
        <f>SUM(C42:C45)</f>
        <v>92869254.174346164</v>
      </c>
      <c r="D41" s="145">
        <f>SUM(D42:D45)</f>
        <v>22337695.919999998</v>
      </c>
      <c r="E41" s="146">
        <f t="shared" si="2"/>
        <v>115206950.09434617</v>
      </c>
      <c r="F41" s="145">
        <v>9832481.9334576987</v>
      </c>
      <c r="G41" s="145">
        <v>8206332.5700000003</v>
      </c>
      <c r="H41" s="146">
        <f t="shared" si="3"/>
        <v>18038814.503457699</v>
      </c>
    </row>
    <row r="42" spans="1:10" x14ac:dyDescent="0.25">
      <c r="A42" s="143">
        <v>17.100000000000001</v>
      </c>
      <c r="B42" s="168" t="s">
        <v>130</v>
      </c>
      <c r="C42" s="148">
        <v>92844455.204346165</v>
      </c>
      <c r="D42" s="148">
        <v>21006806.449999999</v>
      </c>
      <c r="E42" s="146">
        <f t="shared" si="2"/>
        <v>113851261.65434617</v>
      </c>
      <c r="F42" s="148">
        <v>7790466.5234576985</v>
      </c>
      <c r="G42" s="148">
        <v>7977941.5899999999</v>
      </c>
      <c r="H42" s="146">
        <f t="shared" si="3"/>
        <v>15768408.113457698</v>
      </c>
      <c r="J42" s="59"/>
    </row>
    <row r="43" spans="1:10" x14ac:dyDescent="0.25">
      <c r="A43" s="143">
        <v>17.2</v>
      </c>
      <c r="B43" s="147" t="s">
        <v>131</v>
      </c>
      <c r="C43" s="145">
        <v>0</v>
      </c>
      <c r="D43" s="145">
        <v>0</v>
      </c>
      <c r="E43" s="146">
        <f t="shared" si="2"/>
        <v>0</v>
      </c>
      <c r="F43" s="145">
        <v>2009147.9</v>
      </c>
      <c r="G43" s="145">
        <v>0</v>
      </c>
      <c r="H43" s="146">
        <f t="shared" si="3"/>
        <v>2009147.9</v>
      </c>
      <c r="J43" s="59"/>
    </row>
    <row r="44" spans="1:10" x14ac:dyDescent="0.25">
      <c r="A44" s="143">
        <v>17.3</v>
      </c>
      <c r="B44" s="168" t="s">
        <v>132</v>
      </c>
      <c r="C44" s="145"/>
      <c r="D44" s="145"/>
      <c r="E44" s="146">
        <f t="shared" si="2"/>
        <v>0</v>
      </c>
      <c r="F44" s="145"/>
      <c r="G44" s="145"/>
      <c r="H44" s="146">
        <f t="shared" si="3"/>
        <v>0</v>
      </c>
    </row>
    <row r="45" spans="1:10" x14ac:dyDescent="0.25">
      <c r="A45" s="143">
        <v>17.399999999999999</v>
      </c>
      <c r="B45" s="168" t="s">
        <v>133</v>
      </c>
      <c r="C45" s="148">
        <v>24798.97</v>
      </c>
      <c r="D45" s="148">
        <v>1330889.47</v>
      </c>
      <c r="E45" s="146">
        <f t="shared" si="2"/>
        <v>1355688.44</v>
      </c>
      <c r="F45" s="148">
        <v>32867.51</v>
      </c>
      <c r="G45" s="148">
        <v>228390.98</v>
      </c>
      <c r="H45" s="146">
        <f t="shared" si="3"/>
        <v>261258.49000000002</v>
      </c>
      <c r="J45" s="59"/>
    </row>
    <row r="46" spans="1:10" x14ac:dyDescent="0.25">
      <c r="A46" s="143">
        <v>18</v>
      </c>
      <c r="B46" s="152" t="s">
        <v>134</v>
      </c>
      <c r="C46" s="145">
        <v>29842.053043312611</v>
      </c>
      <c r="D46" s="145">
        <v>20793.016256400082</v>
      </c>
      <c r="E46" s="146">
        <f t="shared" si="2"/>
        <v>50635.06929971269</v>
      </c>
      <c r="F46" s="148">
        <v>14629.791745876177</v>
      </c>
      <c r="G46" s="145">
        <v>39970.433629477942</v>
      </c>
      <c r="H46" s="146">
        <f t="shared" si="3"/>
        <v>54600.225375354115</v>
      </c>
      <c r="J46" s="59"/>
    </row>
    <row r="47" spans="1:10" x14ac:dyDescent="0.25">
      <c r="A47" s="143">
        <v>19</v>
      </c>
      <c r="B47" s="152" t="s">
        <v>135</v>
      </c>
      <c r="C47" s="145">
        <f>SUM(C48:C49)</f>
        <v>1157682.7731685017</v>
      </c>
      <c r="D47" s="145">
        <f>SUM(D48:D49)</f>
        <v>0</v>
      </c>
      <c r="E47" s="146">
        <f t="shared" si="2"/>
        <v>1157682.7731685017</v>
      </c>
      <c r="F47" s="145">
        <v>1752441.5988421449</v>
      </c>
      <c r="G47" s="145">
        <v>0</v>
      </c>
      <c r="H47" s="146">
        <f t="shared" si="3"/>
        <v>1752441.5988421449</v>
      </c>
    </row>
    <row r="48" spans="1:10" x14ac:dyDescent="0.25">
      <c r="A48" s="143">
        <v>19.100000000000001</v>
      </c>
      <c r="B48" s="169" t="s">
        <v>136</v>
      </c>
      <c r="C48" s="145">
        <v>0</v>
      </c>
      <c r="D48" s="145">
        <v>0</v>
      </c>
      <c r="E48" s="146">
        <f t="shared" si="2"/>
        <v>0</v>
      </c>
      <c r="F48" s="145">
        <v>0</v>
      </c>
      <c r="G48" s="145">
        <v>0</v>
      </c>
      <c r="H48" s="146">
        <f t="shared" si="3"/>
        <v>0</v>
      </c>
    </row>
    <row r="49" spans="1:10" x14ac:dyDescent="0.25">
      <c r="A49" s="143">
        <v>19.2</v>
      </c>
      <c r="B49" s="170" t="s">
        <v>137</v>
      </c>
      <c r="C49" s="145">
        <v>1157682.7731685017</v>
      </c>
      <c r="D49" s="145">
        <v>0</v>
      </c>
      <c r="E49" s="146">
        <f t="shared" si="2"/>
        <v>1157682.7731685017</v>
      </c>
      <c r="F49" s="145">
        <v>1752441.5988421449</v>
      </c>
      <c r="G49" s="145">
        <v>0</v>
      </c>
      <c r="H49" s="146">
        <f t="shared" si="3"/>
        <v>1752441.5988421449</v>
      </c>
      <c r="J49" s="59"/>
    </row>
    <row r="50" spans="1:10" x14ac:dyDescent="0.25">
      <c r="A50" s="143">
        <v>20</v>
      </c>
      <c r="B50" s="160" t="s">
        <v>138</v>
      </c>
      <c r="C50" s="145">
        <v>3432022.03</v>
      </c>
      <c r="D50" s="145">
        <v>0</v>
      </c>
      <c r="E50" s="146">
        <f t="shared" si="2"/>
        <v>3432022.03</v>
      </c>
      <c r="F50" s="145">
        <v>2984880.43</v>
      </c>
      <c r="G50" s="145">
        <v>0</v>
      </c>
      <c r="H50" s="146">
        <f t="shared" si="3"/>
        <v>2984880.43</v>
      </c>
      <c r="J50" s="59"/>
    </row>
    <row r="51" spans="1:10" x14ac:dyDescent="0.25">
      <c r="A51" s="143">
        <v>21</v>
      </c>
      <c r="B51" s="149" t="s">
        <v>139</v>
      </c>
      <c r="C51" s="145">
        <v>2571203.9900000007</v>
      </c>
      <c r="D51" s="145">
        <v>251628.57999999996</v>
      </c>
      <c r="E51" s="146">
        <f t="shared" si="2"/>
        <v>2822832.5700000008</v>
      </c>
      <c r="F51" s="145">
        <v>597835.42999999982</v>
      </c>
      <c r="G51" s="145">
        <v>226262.6</v>
      </c>
      <c r="H51" s="146">
        <f t="shared" si="3"/>
        <v>824098.0299999998</v>
      </c>
      <c r="J51" s="59"/>
    </row>
    <row r="52" spans="1:10" x14ac:dyDescent="0.25">
      <c r="A52" s="143">
        <v>21.1</v>
      </c>
      <c r="B52" s="147" t="s">
        <v>140</v>
      </c>
      <c r="C52" s="145"/>
      <c r="D52" s="145"/>
      <c r="E52" s="146">
        <f t="shared" si="2"/>
        <v>0</v>
      </c>
      <c r="F52" s="145"/>
      <c r="G52" s="145"/>
      <c r="H52" s="146">
        <f t="shared" si="3"/>
        <v>0</v>
      </c>
    </row>
    <row r="53" spans="1:10" x14ac:dyDescent="0.25">
      <c r="A53" s="143">
        <v>22</v>
      </c>
      <c r="B53" s="160" t="s">
        <v>141</v>
      </c>
      <c r="C53" s="145">
        <f>SUM(C38,C40,C41,C46,C47,C50,C51)</f>
        <v>100062160.02055797</v>
      </c>
      <c r="D53" s="145">
        <f>SUM(D38,D40,D41,D46,D47,D50,D51)</f>
        <v>22610117.516256396</v>
      </c>
      <c r="E53" s="146">
        <f t="shared" si="2"/>
        <v>122672277.53681436</v>
      </c>
      <c r="F53" s="145">
        <v>15191732.39254972</v>
      </c>
      <c r="G53" s="145">
        <v>8473465.6036294792</v>
      </c>
      <c r="H53" s="146">
        <f t="shared" si="3"/>
        <v>23665197.996179201</v>
      </c>
      <c r="J53" s="59"/>
    </row>
    <row r="54" spans="1:10" ht="24" customHeight="1" x14ac:dyDescent="0.25">
      <c r="A54" s="143"/>
      <c r="B54" s="161" t="s">
        <v>142</v>
      </c>
      <c r="C54" s="162"/>
      <c r="D54" s="163"/>
      <c r="E54" s="163"/>
      <c r="F54" s="163"/>
      <c r="G54" s="163"/>
      <c r="H54" s="164"/>
    </row>
    <row r="55" spans="1:10" x14ac:dyDescent="0.25">
      <c r="A55" s="143">
        <v>23</v>
      </c>
      <c r="B55" s="160" t="s">
        <v>143</v>
      </c>
      <c r="C55" s="145">
        <v>72746400</v>
      </c>
      <c r="D55" s="145"/>
      <c r="E55" s="146">
        <f>C55+D55</f>
        <v>72746400</v>
      </c>
      <c r="F55" s="145">
        <v>62946400</v>
      </c>
      <c r="G55" s="145"/>
      <c r="H55" s="146">
        <f>F55+G55</f>
        <v>62946400</v>
      </c>
      <c r="J55" s="59"/>
    </row>
    <row r="56" spans="1:10" x14ac:dyDescent="0.25">
      <c r="A56" s="143">
        <v>24</v>
      </c>
      <c r="B56" s="160" t="s">
        <v>144</v>
      </c>
      <c r="C56" s="145"/>
      <c r="D56" s="145"/>
      <c r="E56" s="146">
        <f t="shared" ref="E56:E69" si="4">C56+D56</f>
        <v>0</v>
      </c>
      <c r="F56" s="145"/>
      <c r="G56" s="145"/>
      <c r="H56" s="146">
        <f t="shared" ref="H56:H69" si="5">F56+G56</f>
        <v>0</v>
      </c>
    </row>
    <row r="57" spans="1:10" x14ac:dyDescent="0.25">
      <c r="A57" s="143">
        <v>25</v>
      </c>
      <c r="B57" s="160" t="s">
        <v>145</v>
      </c>
      <c r="C57" s="145"/>
      <c r="D57" s="145"/>
      <c r="E57" s="146">
        <f t="shared" si="4"/>
        <v>0</v>
      </c>
      <c r="F57" s="145"/>
      <c r="G57" s="145"/>
      <c r="H57" s="146">
        <f t="shared" si="5"/>
        <v>0</v>
      </c>
    </row>
    <row r="58" spans="1:10" x14ac:dyDescent="0.25">
      <c r="A58" s="143">
        <v>26</v>
      </c>
      <c r="B58" s="152" t="s">
        <v>146</v>
      </c>
      <c r="C58" s="145"/>
      <c r="D58" s="145"/>
      <c r="E58" s="146">
        <f t="shared" si="4"/>
        <v>0</v>
      </c>
      <c r="F58" s="145"/>
      <c r="G58" s="145"/>
      <c r="H58" s="146">
        <f t="shared" si="5"/>
        <v>0</v>
      </c>
    </row>
    <row r="59" spans="1:10" ht="21" x14ac:dyDescent="0.25">
      <c r="A59" s="143">
        <v>27</v>
      </c>
      <c r="B59" s="152" t="s">
        <v>147</v>
      </c>
      <c r="C59" s="145">
        <f>SUM(C60:C61)</f>
        <v>0</v>
      </c>
      <c r="D59" s="145">
        <f>SUM(D60:D61)</f>
        <v>0</v>
      </c>
      <c r="E59" s="146">
        <f t="shared" si="4"/>
        <v>0</v>
      </c>
      <c r="F59" s="145">
        <v>0</v>
      </c>
      <c r="G59" s="145">
        <v>0</v>
      </c>
      <c r="H59" s="146">
        <f t="shared" si="5"/>
        <v>0</v>
      </c>
    </row>
    <row r="60" spans="1:10" x14ac:dyDescent="0.25">
      <c r="A60" s="143">
        <v>27.1</v>
      </c>
      <c r="B60" s="169" t="s">
        <v>148</v>
      </c>
      <c r="C60" s="145"/>
      <c r="D60" s="145"/>
      <c r="E60" s="146">
        <f t="shared" si="4"/>
        <v>0</v>
      </c>
      <c r="F60" s="145"/>
      <c r="G60" s="145"/>
      <c r="H60" s="146">
        <f t="shared" si="5"/>
        <v>0</v>
      </c>
    </row>
    <row r="61" spans="1:10" x14ac:dyDescent="0.25">
      <c r="A61" s="143">
        <v>27.2</v>
      </c>
      <c r="B61" s="168" t="s">
        <v>149</v>
      </c>
      <c r="C61" s="145"/>
      <c r="D61" s="145"/>
      <c r="E61" s="146">
        <f t="shared" si="4"/>
        <v>0</v>
      </c>
      <c r="F61" s="145"/>
      <c r="G61" s="145"/>
      <c r="H61" s="146">
        <f t="shared" si="5"/>
        <v>0</v>
      </c>
    </row>
    <row r="62" spans="1:10" x14ac:dyDescent="0.25">
      <c r="A62" s="143">
        <v>28</v>
      </c>
      <c r="B62" s="149" t="s">
        <v>150</v>
      </c>
      <c r="C62" s="145"/>
      <c r="D62" s="145"/>
      <c r="E62" s="146">
        <f t="shared" si="4"/>
        <v>0</v>
      </c>
      <c r="F62" s="145"/>
      <c r="G62" s="145"/>
      <c r="H62" s="146">
        <f t="shared" si="5"/>
        <v>0</v>
      </c>
    </row>
    <row r="63" spans="1:10" x14ac:dyDescent="0.25">
      <c r="A63" s="143">
        <v>29</v>
      </c>
      <c r="B63" s="152" t="s">
        <v>151</v>
      </c>
      <c r="C63" s="145">
        <f>SUM(C64:C66)</f>
        <v>3615196.900470661</v>
      </c>
      <c r="D63" s="145">
        <f>SUM(D64:D66)</f>
        <v>0</v>
      </c>
      <c r="E63" s="146">
        <f t="shared" si="4"/>
        <v>3615196.900470661</v>
      </c>
      <c r="F63" s="145">
        <v>4352500.4589957595</v>
      </c>
      <c r="G63" s="145">
        <v>0</v>
      </c>
      <c r="H63" s="146">
        <f t="shared" si="5"/>
        <v>4352500.4589957595</v>
      </c>
    </row>
    <row r="64" spans="1:10" x14ac:dyDescent="0.25">
      <c r="A64" s="143">
        <v>29.1</v>
      </c>
      <c r="B64" s="155" t="s">
        <v>152</v>
      </c>
      <c r="C64" s="145">
        <v>3615196.900470661</v>
      </c>
      <c r="D64" s="145"/>
      <c r="E64" s="146">
        <f t="shared" si="4"/>
        <v>3615196.900470661</v>
      </c>
      <c r="F64" s="145">
        <v>4352500.4589957595</v>
      </c>
      <c r="G64" s="145"/>
      <c r="H64" s="146">
        <f t="shared" si="5"/>
        <v>4352500.4589957595</v>
      </c>
      <c r="J64" s="59"/>
    </row>
    <row r="65" spans="1:10" ht="24.95" customHeight="1" x14ac:dyDescent="0.25">
      <c r="A65" s="143">
        <v>29.2</v>
      </c>
      <c r="B65" s="169" t="s">
        <v>153</v>
      </c>
      <c r="C65" s="145"/>
      <c r="D65" s="145"/>
      <c r="E65" s="146">
        <f t="shared" si="4"/>
        <v>0</v>
      </c>
      <c r="F65" s="145"/>
      <c r="G65" s="145"/>
      <c r="H65" s="146">
        <f t="shared" si="5"/>
        <v>0</v>
      </c>
    </row>
    <row r="66" spans="1:10" ht="22.5" customHeight="1" x14ac:dyDescent="0.25">
      <c r="A66" s="143">
        <v>29.3</v>
      </c>
      <c r="B66" s="158" t="s">
        <v>154</v>
      </c>
      <c r="C66" s="145"/>
      <c r="D66" s="145"/>
      <c r="E66" s="146">
        <f t="shared" si="4"/>
        <v>0</v>
      </c>
      <c r="F66" s="145"/>
      <c r="G66" s="145"/>
      <c r="H66" s="146">
        <f t="shared" si="5"/>
        <v>0</v>
      </c>
    </row>
    <row r="67" spans="1:10" x14ac:dyDescent="0.25">
      <c r="A67" s="143">
        <v>30</v>
      </c>
      <c r="B67" s="152" t="s">
        <v>155</v>
      </c>
      <c r="C67" s="145">
        <v>-18550775.219210185</v>
      </c>
      <c r="D67" s="145"/>
      <c r="E67" s="146">
        <f t="shared" si="4"/>
        <v>-18550775.219210185</v>
      </c>
      <c r="F67" s="145">
        <v>-11468685.621432994</v>
      </c>
      <c r="G67" s="145"/>
      <c r="H67" s="146">
        <f t="shared" si="5"/>
        <v>-11468685.621432994</v>
      </c>
      <c r="J67" s="59"/>
    </row>
    <row r="68" spans="1:10" x14ac:dyDescent="0.25">
      <c r="A68" s="143">
        <v>31</v>
      </c>
      <c r="B68" s="171" t="s">
        <v>156</v>
      </c>
      <c r="C68" s="145">
        <f>SUM(C55,C56,C57,C58,C59,C62,C63,C67)</f>
        <v>57810821.681260474</v>
      </c>
      <c r="D68" s="145">
        <f>SUM(D55,D56,D57,D58,D59,D62,D63,D67)</f>
        <v>0</v>
      </c>
      <c r="E68" s="146">
        <f t="shared" si="4"/>
        <v>57810821.681260474</v>
      </c>
      <c r="F68" s="145">
        <v>55830214.83756277</v>
      </c>
      <c r="G68" s="145">
        <v>0</v>
      </c>
      <c r="H68" s="146">
        <f t="shared" si="5"/>
        <v>55830214.83756277</v>
      </c>
      <c r="J68" s="59"/>
    </row>
    <row r="69" spans="1:10" x14ac:dyDescent="0.25">
      <c r="A69" s="143">
        <v>32</v>
      </c>
      <c r="B69" s="172" t="s">
        <v>157</v>
      </c>
      <c r="C69" s="145">
        <f>SUM(C53,C68)</f>
        <v>157872981.70181844</v>
      </c>
      <c r="D69" s="145">
        <f>SUM(D53,D68)</f>
        <v>22610117.516256396</v>
      </c>
      <c r="E69" s="146">
        <f t="shared" si="4"/>
        <v>180483099.21807483</v>
      </c>
      <c r="F69" s="145">
        <v>71021947.230112493</v>
      </c>
      <c r="G69" s="145">
        <v>8473465.6036294792</v>
      </c>
      <c r="H69" s="146">
        <f t="shared" si="5"/>
        <v>79495412.833741978</v>
      </c>
      <c r="J69" s="59"/>
    </row>
    <row r="71" spans="1:10" x14ac:dyDescent="0.25">
      <c r="E71" s="848"/>
      <c r="F71" s="265"/>
      <c r="G71" s="265"/>
      <c r="H71" s="848"/>
    </row>
    <row r="72" spans="1:10" x14ac:dyDescent="0.25">
      <c r="E72" s="265"/>
      <c r="F72" s="265"/>
      <c r="G72" s="265"/>
      <c r="H72" s="265"/>
    </row>
    <row r="73" spans="1:10" x14ac:dyDescent="0.25">
      <c r="E73" s="265"/>
      <c r="F73" s="265"/>
      <c r="G73" s="265"/>
      <c r="H73" s="265"/>
    </row>
    <row r="74" spans="1:10" x14ac:dyDescent="0.25">
      <c r="E74" s="265"/>
      <c r="F74" s="265"/>
      <c r="G74" s="265"/>
      <c r="H74" s="265"/>
    </row>
    <row r="75" spans="1:10" x14ac:dyDescent="0.25">
      <c r="E75" s="265"/>
      <c r="F75" s="265"/>
      <c r="G75" s="265"/>
      <c r="H75" s="265"/>
    </row>
  </sheetData>
  <mergeCells count="7">
    <mergeCell ref="C54:H54"/>
    <mergeCell ref="A4:A6"/>
    <mergeCell ref="B4:B5"/>
    <mergeCell ref="C4:E4"/>
    <mergeCell ref="F4:H4"/>
    <mergeCell ref="C6:H6"/>
    <mergeCell ref="C37: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270E0-68B7-4D75-9995-9D2F70C49276}">
  <dimension ref="A1:H51"/>
  <sheetViews>
    <sheetView zoomScaleNormal="100" workbookViewId="0">
      <selection activeCell="C6" sqref="C6:H45"/>
    </sheetView>
  </sheetViews>
  <sheetFormatPr defaultRowHeight="15" x14ac:dyDescent="0.25"/>
  <cols>
    <col min="2" max="2" width="66.5703125" customWidth="1"/>
    <col min="3" max="6" width="17.85546875" customWidth="1"/>
    <col min="7" max="7" width="19.140625" customWidth="1"/>
    <col min="8" max="8" width="17.85546875" customWidth="1"/>
  </cols>
  <sheetData>
    <row r="1" spans="1:8" ht="15.75" x14ac:dyDescent="0.3">
      <c r="A1" s="23" t="s">
        <v>41</v>
      </c>
      <c r="B1" s="24" t="str">
        <f>Info!C2</f>
        <v>სს სილქ ბანკი</v>
      </c>
      <c r="C1" s="25"/>
      <c r="D1" s="22"/>
      <c r="E1" s="22"/>
      <c r="F1" s="22"/>
      <c r="G1" s="22"/>
    </row>
    <row r="2" spans="1:8" ht="15.75" x14ac:dyDescent="0.3">
      <c r="A2" s="23" t="s">
        <v>42</v>
      </c>
      <c r="B2" s="26">
        <f>'1. key ratios'!B2</f>
        <v>45382</v>
      </c>
      <c r="C2" s="25"/>
      <c r="D2" s="22"/>
      <c r="E2" s="22"/>
      <c r="F2" s="22"/>
      <c r="G2" s="22"/>
    </row>
    <row r="3" spans="1:8" ht="16.5" thickBot="1" x14ac:dyDescent="0.35">
      <c r="A3" s="23"/>
      <c r="B3" s="25"/>
      <c r="C3" s="25"/>
      <c r="D3" s="22"/>
      <c r="E3" s="22"/>
      <c r="F3" s="22"/>
      <c r="G3" s="22"/>
    </row>
    <row r="4" spans="1:8" ht="40.5" customHeight="1" x14ac:dyDescent="0.25">
      <c r="A4" s="175" t="s">
        <v>46</v>
      </c>
      <c r="B4" s="176" t="s">
        <v>14</v>
      </c>
      <c r="C4" s="177" t="s">
        <v>92</v>
      </c>
      <c r="D4" s="177"/>
      <c r="E4" s="177"/>
      <c r="F4" s="177" t="s">
        <v>93</v>
      </c>
      <c r="G4" s="177"/>
      <c r="H4" s="178"/>
    </row>
    <row r="5" spans="1:8" ht="15.6" customHeight="1" x14ac:dyDescent="0.25">
      <c r="A5" s="179"/>
      <c r="B5" s="180"/>
      <c r="C5" s="181" t="s">
        <v>94</v>
      </c>
      <c r="D5" s="181" t="s">
        <v>95</v>
      </c>
      <c r="E5" s="181" t="s">
        <v>96</v>
      </c>
      <c r="F5" s="181" t="s">
        <v>94</v>
      </c>
      <c r="G5" s="181" t="s">
        <v>95</v>
      </c>
      <c r="H5" s="181" t="s">
        <v>96</v>
      </c>
    </row>
    <row r="6" spans="1:8" x14ac:dyDescent="0.25">
      <c r="A6" s="182">
        <v>1</v>
      </c>
      <c r="B6" s="183" t="s">
        <v>158</v>
      </c>
      <c r="C6" s="184">
        <f>SUM(C7:C12)</f>
        <v>3403964.9205173585</v>
      </c>
      <c r="D6" s="184">
        <f>SUM(D7:D12)</f>
        <v>572757.13523194368</v>
      </c>
      <c r="E6" s="185">
        <f>C6+D6</f>
        <v>3976722.0557493023</v>
      </c>
      <c r="F6" s="184">
        <v>1167176.5826592715</v>
      </c>
      <c r="G6" s="184">
        <v>276389.08</v>
      </c>
      <c r="H6" s="185">
        <f>F6+G6</f>
        <v>1443565.6626592716</v>
      </c>
    </row>
    <row r="7" spans="1:8" x14ac:dyDescent="0.25">
      <c r="A7" s="182">
        <v>1.1000000000000001</v>
      </c>
      <c r="B7" s="186" t="s">
        <v>102</v>
      </c>
      <c r="C7" s="184"/>
      <c r="D7" s="184"/>
      <c r="E7" s="185">
        <f t="shared" ref="E7:E45" si="0">C7+D7</f>
        <v>0</v>
      </c>
      <c r="F7" s="184"/>
      <c r="G7" s="184"/>
      <c r="H7" s="185">
        <f t="shared" ref="H7:H45" si="1">F7+G7</f>
        <v>0</v>
      </c>
    </row>
    <row r="8" spans="1:8" ht="21" x14ac:dyDescent="0.25">
      <c r="A8" s="182">
        <v>1.2</v>
      </c>
      <c r="B8" s="186" t="s">
        <v>159</v>
      </c>
      <c r="C8" s="184"/>
      <c r="D8" s="184"/>
      <c r="E8" s="185">
        <f t="shared" si="0"/>
        <v>0</v>
      </c>
      <c r="F8" s="184"/>
      <c r="G8" s="184"/>
      <c r="H8" s="185">
        <f t="shared" si="1"/>
        <v>0</v>
      </c>
    </row>
    <row r="9" spans="1:8" ht="21.6" customHeight="1" x14ac:dyDescent="0.25">
      <c r="A9" s="182">
        <v>1.3</v>
      </c>
      <c r="B9" s="169" t="s">
        <v>160</v>
      </c>
      <c r="C9" s="184"/>
      <c r="D9" s="184"/>
      <c r="E9" s="185">
        <f t="shared" si="0"/>
        <v>0</v>
      </c>
      <c r="F9" s="184"/>
      <c r="G9" s="184"/>
      <c r="H9" s="185">
        <f t="shared" si="1"/>
        <v>0</v>
      </c>
    </row>
    <row r="10" spans="1:8" ht="21" x14ac:dyDescent="0.25">
      <c r="A10" s="182">
        <v>1.4</v>
      </c>
      <c r="B10" s="169" t="s">
        <v>106</v>
      </c>
      <c r="C10" s="184"/>
      <c r="D10" s="184"/>
      <c r="E10" s="185">
        <f t="shared" si="0"/>
        <v>0</v>
      </c>
      <c r="F10" s="184"/>
      <c r="G10" s="184"/>
      <c r="H10" s="185">
        <f t="shared" si="1"/>
        <v>0</v>
      </c>
    </row>
    <row r="11" spans="1:8" x14ac:dyDescent="0.25">
      <c r="A11" s="182">
        <v>1.5</v>
      </c>
      <c r="B11" s="169" t="s">
        <v>110</v>
      </c>
      <c r="C11" s="184">
        <v>3403964.9205173585</v>
      </c>
      <c r="D11" s="184">
        <v>572757.13523194368</v>
      </c>
      <c r="E11" s="185">
        <f t="shared" si="0"/>
        <v>3976722.0557493023</v>
      </c>
      <c r="F11" s="184">
        <v>1167176.5826592715</v>
      </c>
      <c r="G11" s="184">
        <v>276389.08</v>
      </c>
      <c r="H11" s="185">
        <f t="shared" si="1"/>
        <v>1443565.6626592716</v>
      </c>
    </row>
    <row r="12" spans="1:8" x14ac:dyDescent="0.25">
      <c r="A12" s="182">
        <v>1.6</v>
      </c>
      <c r="B12" s="170" t="s">
        <v>122</v>
      </c>
      <c r="C12" s="184"/>
      <c r="D12" s="184"/>
      <c r="E12" s="185">
        <f t="shared" si="0"/>
        <v>0</v>
      </c>
      <c r="F12" s="184"/>
      <c r="G12" s="184"/>
      <c r="H12" s="185">
        <f t="shared" si="1"/>
        <v>0</v>
      </c>
    </row>
    <row r="13" spans="1:8" x14ac:dyDescent="0.25">
      <c r="A13" s="182">
        <v>2</v>
      </c>
      <c r="B13" s="187" t="s">
        <v>161</v>
      </c>
      <c r="C13" s="184">
        <f>SUM(C14:C17)</f>
        <v>-2323946.1116617038</v>
      </c>
      <c r="D13" s="184">
        <f>SUM(D14:D17)</f>
        <v>-205023.46999999997</v>
      </c>
      <c r="E13" s="185">
        <f t="shared" si="0"/>
        <v>-2528969.581661704</v>
      </c>
      <c r="F13" s="184">
        <v>-379006.45861566736</v>
      </c>
      <c r="G13" s="184">
        <v>-18970.920000000006</v>
      </c>
      <c r="H13" s="185">
        <f t="shared" si="1"/>
        <v>-397977.37861566735</v>
      </c>
    </row>
    <row r="14" spans="1:8" x14ac:dyDescent="0.25">
      <c r="A14" s="182">
        <v>2.1</v>
      </c>
      <c r="B14" s="169" t="s">
        <v>162</v>
      </c>
      <c r="C14" s="184"/>
      <c r="D14" s="184"/>
      <c r="E14" s="185">
        <f t="shared" si="0"/>
        <v>0</v>
      </c>
      <c r="F14" s="184"/>
      <c r="G14" s="184"/>
      <c r="H14" s="185">
        <f t="shared" si="1"/>
        <v>0</v>
      </c>
    </row>
    <row r="15" spans="1:8" ht="24.6" customHeight="1" x14ac:dyDescent="0.25">
      <c r="A15" s="182">
        <v>2.2000000000000002</v>
      </c>
      <c r="B15" s="169" t="s">
        <v>163</v>
      </c>
      <c r="C15" s="184"/>
      <c r="D15" s="184"/>
      <c r="E15" s="185">
        <f t="shared" si="0"/>
        <v>0</v>
      </c>
      <c r="F15" s="184"/>
      <c r="G15" s="184"/>
      <c r="H15" s="185">
        <f t="shared" si="1"/>
        <v>0</v>
      </c>
    </row>
    <row r="16" spans="1:8" ht="20.45" customHeight="1" x14ac:dyDescent="0.25">
      <c r="A16" s="182">
        <v>2.2999999999999998</v>
      </c>
      <c r="B16" s="169" t="s">
        <v>164</v>
      </c>
      <c r="C16" s="184">
        <v>-2323946.1116617038</v>
      </c>
      <c r="D16" s="184">
        <v>-205023.46999999997</v>
      </c>
      <c r="E16" s="185">
        <f t="shared" si="0"/>
        <v>-2528969.581661704</v>
      </c>
      <c r="F16" s="184">
        <v>-379006.45861566736</v>
      </c>
      <c r="G16" s="184">
        <v>-18970.920000000006</v>
      </c>
      <c r="H16" s="185">
        <f t="shared" si="1"/>
        <v>-397977.37861566735</v>
      </c>
    </row>
    <row r="17" spans="1:8" x14ac:dyDescent="0.25">
      <c r="A17" s="182">
        <v>2.4</v>
      </c>
      <c r="B17" s="169" t="s">
        <v>165</v>
      </c>
      <c r="C17" s="184"/>
      <c r="D17" s="184"/>
      <c r="E17" s="185">
        <f t="shared" si="0"/>
        <v>0</v>
      </c>
      <c r="F17" s="184"/>
      <c r="G17" s="184"/>
      <c r="H17" s="185">
        <f t="shared" si="1"/>
        <v>0</v>
      </c>
    </row>
    <row r="18" spans="1:8" x14ac:dyDescent="0.25">
      <c r="A18" s="182">
        <v>3</v>
      </c>
      <c r="B18" s="187" t="s">
        <v>166</v>
      </c>
      <c r="C18" s="184"/>
      <c r="D18" s="184"/>
      <c r="E18" s="185">
        <f t="shared" si="0"/>
        <v>0</v>
      </c>
      <c r="F18" s="184"/>
      <c r="G18" s="184"/>
      <c r="H18" s="185">
        <f t="shared" si="1"/>
        <v>0</v>
      </c>
    </row>
    <row r="19" spans="1:8" x14ac:dyDescent="0.25">
      <c r="A19" s="182">
        <v>4</v>
      </c>
      <c r="B19" s="187" t="s">
        <v>167</v>
      </c>
      <c r="C19" s="184">
        <v>35874.980000000003</v>
      </c>
      <c r="D19" s="184">
        <v>44381.56</v>
      </c>
      <c r="E19" s="185">
        <f t="shared" si="0"/>
        <v>80256.540000000008</v>
      </c>
      <c r="F19" s="184">
        <v>45915.839999999997</v>
      </c>
      <c r="G19" s="184">
        <v>21661.98</v>
      </c>
      <c r="H19" s="185">
        <f t="shared" si="1"/>
        <v>67577.819999999992</v>
      </c>
    </row>
    <row r="20" spans="1:8" x14ac:dyDescent="0.25">
      <c r="A20" s="182">
        <v>5</v>
      </c>
      <c r="B20" s="187" t="s">
        <v>168</v>
      </c>
      <c r="C20" s="184">
        <v>-72743.310000000012</v>
      </c>
      <c r="D20" s="184">
        <v>-27664.769999999997</v>
      </c>
      <c r="E20" s="185">
        <f t="shared" si="0"/>
        <v>-100408.08000000002</v>
      </c>
      <c r="F20" s="184">
        <v>-18144.359999999997</v>
      </c>
      <c r="G20" s="184">
        <v>-17590.990000000002</v>
      </c>
      <c r="H20" s="185">
        <f t="shared" si="1"/>
        <v>-35735.35</v>
      </c>
    </row>
    <row r="21" spans="1:8" ht="38.450000000000003" customHeight="1" x14ac:dyDescent="0.25">
      <c r="A21" s="182">
        <v>6</v>
      </c>
      <c r="B21" s="187" t="s">
        <v>169</v>
      </c>
      <c r="C21" s="184"/>
      <c r="D21" s="184"/>
      <c r="E21" s="185">
        <f t="shared" si="0"/>
        <v>0</v>
      </c>
      <c r="F21" s="184"/>
      <c r="G21" s="184"/>
      <c r="H21" s="185">
        <f t="shared" si="1"/>
        <v>0</v>
      </c>
    </row>
    <row r="22" spans="1:8" ht="27.6" customHeight="1" x14ac:dyDescent="0.25">
      <c r="A22" s="182">
        <v>7</v>
      </c>
      <c r="B22" s="188" t="s">
        <v>170</v>
      </c>
      <c r="C22" s="184"/>
      <c r="D22" s="184"/>
      <c r="E22" s="185">
        <f t="shared" si="0"/>
        <v>0</v>
      </c>
      <c r="F22" s="184"/>
      <c r="G22" s="184"/>
      <c r="H22" s="185">
        <f t="shared" si="1"/>
        <v>0</v>
      </c>
    </row>
    <row r="23" spans="1:8" ht="36.950000000000003" customHeight="1" x14ac:dyDescent="0.25">
      <c r="A23" s="182">
        <v>8</v>
      </c>
      <c r="B23" s="189" t="s">
        <v>171</v>
      </c>
      <c r="C23" s="184"/>
      <c r="D23" s="184"/>
      <c r="E23" s="185">
        <f t="shared" si="0"/>
        <v>0</v>
      </c>
      <c r="F23" s="184"/>
      <c r="G23" s="184"/>
      <c r="H23" s="185">
        <f t="shared" si="1"/>
        <v>0</v>
      </c>
    </row>
    <row r="24" spans="1:8" ht="34.5" customHeight="1" x14ac:dyDescent="0.25">
      <c r="A24" s="182">
        <v>9</v>
      </c>
      <c r="B24" s="189" t="s">
        <v>172</v>
      </c>
      <c r="C24" s="184"/>
      <c r="D24" s="184"/>
      <c r="E24" s="185">
        <f t="shared" si="0"/>
        <v>0</v>
      </c>
      <c r="F24" s="184"/>
      <c r="G24" s="184"/>
      <c r="H24" s="185">
        <f t="shared" si="1"/>
        <v>0</v>
      </c>
    </row>
    <row r="25" spans="1:8" x14ac:dyDescent="0.25">
      <c r="A25" s="182">
        <v>10</v>
      </c>
      <c r="B25" s="187" t="s">
        <v>173</v>
      </c>
      <c r="C25" s="184">
        <v>438526.29596757796</v>
      </c>
      <c r="D25" s="184">
        <v>0</v>
      </c>
      <c r="E25" s="185">
        <f t="shared" si="0"/>
        <v>438526.29596757796</v>
      </c>
      <c r="F25" s="184">
        <v>-253382.3685088614</v>
      </c>
      <c r="G25" s="184">
        <v>0</v>
      </c>
      <c r="H25" s="185">
        <f t="shared" si="1"/>
        <v>-253382.3685088614</v>
      </c>
    </row>
    <row r="26" spans="1:8" ht="27" customHeight="1" x14ac:dyDescent="0.25">
      <c r="A26" s="182">
        <v>11</v>
      </c>
      <c r="B26" s="190" t="s">
        <v>174</v>
      </c>
      <c r="C26" s="184">
        <v>-40005.449279555498</v>
      </c>
      <c r="D26" s="184">
        <v>0</v>
      </c>
      <c r="E26" s="185">
        <f t="shared" si="0"/>
        <v>-40005.449279555498</v>
      </c>
      <c r="F26" s="184">
        <v>-24216.100438376907</v>
      </c>
      <c r="G26" s="184">
        <v>0</v>
      </c>
      <c r="H26" s="185">
        <f t="shared" si="1"/>
        <v>-24216.100438376907</v>
      </c>
    </row>
    <row r="27" spans="1:8" x14ac:dyDescent="0.25">
      <c r="A27" s="182">
        <v>12</v>
      </c>
      <c r="B27" s="187" t="s">
        <v>175</v>
      </c>
      <c r="C27" s="184">
        <v>47113.943253002763</v>
      </c>
      <c r="D27" s="184">
        <v>0</v>
      </c>
      <c r="E27" s="185">
        <f t="shared" si="0"/>
        <v>47113.943253002763</v>
      </c>
      <c r="F27" s="191">
        <v>22481.198844000923</v>
      </c>
      <c r="G27" s="192">
        <v>0</v>
      </c>
      <c r="H27" s="185">
        <f t="shared" si="1"/>
        <v>22481.198844000923</v>
      </c>
    </row>
    <row r="28" spans="1:8" x14ac:dyDescent="0.25">
      <c r="A28" s="182">
        <v>13</v>
      </c>
      <c r="B28" s="193" t="s">
        <v>176</v>
      </c>
      <c r="C28" s="184">
        <v>-9259.8536530000001</v>
      </c>
      <c r="D28" s="184">
        <v>0</v>
      </c>
      <c r="E28" s="185">
        <f t="shared" si="0"/>
        <v>-9259.8536530000001</v>
      </c>
      <c r="F28" s="192">
        <v>-2017.988844</v>
      </c>
      <c r="G28" s="192">
        <v>0</v>
      </c>
      <c r="H28" s="185">
        <f t="shared" si="1"/>
        <v>-2017.988844</v>
      </c>
    </row>
    <row r="29" spans="1:8" x14ac:dyDescent="0.25">
      <c r="A29" s="182">
        <v>14</v>
      </c>
      <c r="B29" s="194" t="s">
        <v>177</v>
      </c>
      <c r="C29" s="184">
        <f>SUM(C30:C31)</f>
        <v>-3499722.3700000015</v>
      </c>
      <c r="D29" s="184">
        <f>SUM(D30:D31)</f>
        <v>-355689.62999999989</v>
      </c>
      <c r="E29" s="185">
        <f t="shared" si="0"/>
        <v>-3855412.0000000014</v>
      </c>
      <c r="F29" s="192">
        <v>-1797017.5500000003</v>
      </c>
      <c r="G29" s="192">
        <v>-202234.00000000006</v>
      </c>
      <c r="H29" s="195">
        <f t="shared" si="1"/>
        <v>-1999251.5500000003</v>
      </c>
    </row>
    <row r="30" spans="1:8" x14ac:dyDescent="0.25">
      <c r="A30" s="182">
        <v>14.1</v>
      </c>
      <c r="B30" s="158" t="s">
        <v>178</v>
      </c>
      <c r="C30" s="184">
        <v>-2342842.6900000013</v>
      </c>
      <c r="D30" s="184">
        <v>0</v>
      </c>
      <c r="E30" s="185">
        <f t="shared" si="0"/>
        <v>-2342842.6900000013</v>
      </c>
      <c r="F30" s="192">
        <v>-1254699.2000000002</v>
      </c>
      <c r="G30" s="192">
        <v>0</v>
      </c>
      <c r="H30" s="195">
        <f t="shared" si="1"/>
        <v>-1254699.2000000002</v>
      </c>
    </row>
    <row r="31" spans="1:8" x14ac:dyDescent="0.25">
      <c r="A31" s="182">
        <v>14.2</v>
      </c>
      <c r="B31" s="158" t="s">
        <v>179</v>
      </c>
      <c r="C31" s="184">
        <v>-1156879.6800000002</v>
      </c>
      <c r="D31" s="184">
        <v>-355689.62999999989</v>
      </c>
      <c r="E31" s="185">
        <f t="shared" si="0"/>
        <v>-1512569.31</v>
      </c>
      <c r="F31" s="192">
        <v>-542318.35</v>
      </c>
      <c r="G31" s="192">
        <v>-202234.00000000006</v>
      </c>
      <c r="H31" s="195">
        <f t="shared" si="1"/>
        <v>-744552.35000000009</v>
      </c>
    </row>
    <row r="32" spans="1:8" x14ac:dyDescent="0.25">
      <c r="A32" s="182">
        <v>15</v>
      </c>
      <c r="B32" s="196" t="s">
        <v>180</v>
      </c>
      <c r="C32" s="184">
        <v>-314533.34999999998</v>
      </c>
      <c r="D32" s="184">
        <v>0</v>
      </c>
      <c r="E32" s="185">
        <f t="shared" si="0"/>
        <v>-314533.34999999998</v>
      </c>
      <c r="F32" s="192">
        <v>-211249.59000000003</v>
      </c>
      <c r="G32" s="192">
        <v>0</v>
      </c>
      <c r="H32" s="195">
        <f t="shared" si="1"/>
        <v>-211249.59000000003</v>
      </c>
    </row>
    <row r="33" spans="1:8" ht="22.5" customHeight="1" x14ac:dyDescent="0.25">
      <c r="A33" s="182">
        <v>16</v>
      </c>
      <c r="B33" s="152" t="s">
        <v>181</v>
      </c>
      <c r="C33" s="184"/>
      <c r="D33" s="184"/>
      <c r="E33" s="185">
        <f t="shared" si="0"/>
        <v>0</v>
      </c>
      <c r="F33" s="184"/>
      <c r="G33" s="184"/>
      <c r="H33" s="185">
        <f t="shared" si="1"/>
        <v>0</v>
      </c>
    </row>
    <row r="34" spans="1:8" x14ac:dyDescent="0.25">
      <c r="A34" s="182">
        <v>17</v>
      </c>
      <c r="B34" s="187" t="s">
        <v>182</v>
      </c>
      <c r="C34" s="184">
        <f>SUM(C35:C36)</f>
        <v>-2200.7860382565377</v>
      </c>
      <c r="D34" s="184">
        <f>SUM(D35:D36)</f>
        <v>-6543.4108167206159</v>
      </c>
      <c r="E34" s="185">
        <f t="shared" si="0"/>
        <v>-8744.1968549771536</v>
      </c>
      <c r="F34" s="184">
        <v>-9389.7917458761913</v>
      </c>
      <c r="G34" s="184">
        <v>-34833.640175262</v>
      </c>
      <c r="H34" s="185">
        <f t="shared" si="1"/>
        <v>-44223.431921138195</v>
      </c>
    </row>
    <row r="35" spans="1:8" x14ac:dyDescent="0.25">
      <c r="A35" s="182">
        <v>17.100000000000001</v>
      </c>
      <c r="B35" s="197" t="s">
        <v>183</v>
      </c>
      <c r="C35" s="184">
        <v>-2200.7860382565377</v>
      </c>
      <c r="D35" s="184">
        <v>-6543.4108167206159</v>
      </c>
      <c r="E35" s="185">
        <f t="shared" si="0"/>
        <v>-8744.1968549771536</v>
      </c>
      <c r="F35" s="184">
        <v>-9389.7917458761913</v>
      </c>
      <c r="G35" s="184">
        <v>-34833.640175262</v>
      </c>
      <c r="H35" s="185">
        <f t="shared" si="1"/>
        <v>-44223.431921138195</v>
      </c>
    </row>
    <row r="36" spans="1:8" x14ac:dyDescent="0.25">
      <c r="A36" s="182">
        <v>17.2</v>
      </c>
      <c r="B36" s="158" t="s">
        <v>184</v>
      </c>
      <c r="C36" s="184"/>
      <c r="D36" s="184"/>
      <c r="E36" s="185">
        <f t="shared" si="0"/>
        <v>0</v>
      </c>
      <c r="F36" s="184"/>
      <c r="G36" s="184"/>
      <c r="H36" s="185">
        <f t="shared" si="1"/>
        <v>0</v>
      </c>
    </row>
    <row r="37" spans="1:8" ht="41.45" customHeight="1" x14ac:dyDescent="0.25">
      <c r="A37" s="182">
        <v>18</v>
      </c>
      <c r="B37" s="198" t="s">
        <v>185</v>
      </c>
      <c r="C37" s="184">
        <f>SUM(C38:C39)</f>
        <v>422382.08738110022</v>
      </c>
      <c r="D37" s="184">
        <f>SUM(D38:D39)</f>
        <v>-7202.1339841131849</v>
      </c>
      <c r="E37" s="185">
        <f t="shared" si="0"/>
        <v>415179.95339698705</v>
      </c>
      <c r="F37" s="199">
        <v>1328.8273084201892</v>
      </c>
      <c r="G37" s="199">
        <v>115965.97301875748</v>
      </c>
      <c r="H37" s="185">
        <f t="shared" si="1"/>
        <v>117294.80032717767</v>
      </c>
    </row>
    <row r="38" spans="1:8" ht="21" x14ac:dyDescent="0.25">
      <c r="A38" s="182">
        <v>18.100000000000001</v>
      </c>
      <c r="B38" s="169" t="s">
        <v>186</v>
      </c>
      <c r="C38" s="184"/>
      <c r="D38" s="184"/>
      <c r="E38" s="185">
        <f t="shared" si="0"/>
        <v>0</v>
      </c>
      <c r="F38" s="199"/>
      <c r="G38" s="199"/>
      <c r="H38" s="185">
        <f t="shared" si="1"/>
        <v>0</v>
      </c>
    </row>
    <row r="39" spans="1:8" x14ac:dyDescent="0.25">
      <c r="A39" s="182">
        <v>18.2</v>
      </c>
      <c r="B39" s="169" t="s">
        <v>187</v>
      </c>
      <c r="C39" s="184">
        <v>422382.08738110022</v>
      </c>
      <c r="D39" s="184">
        <v>-7202.1339841131849</v>
      </c>
      <c r="E39" s="185">
        <f t="shared" si="0"/>
        <v>415179.95339698705</v>
      </c>
      <c r="F39" s="200">
        <v>1328.8273084201892</v>
      </c>
      <c r="G39" s="199">
        <v>115965.97301875748</v>
      </c>
      <c r="H39" s="185">
        <f t="shared" si="1"/>
        <v>117294.80032717767</v>
      </c>
    </row>
    <row r="40" spans="1:8" ht="24.6" customHeight="1" x14ac:dyDescent="0.25">
      <c r="A40" s="182">
        <v>19</v>
      </c>
      <c r="B40" s="198" t="s">
        <v>188</v>
      </c>
      <c r="C40" s="184"/>
      <c r="D40" s="184"/>
      <c r="E40" s="185">
        <f t="shared" si="0"/>
        <v>0</v>
      </c>
      <c r="F40" s="184"/>
      <c r="G40" s="184"/>
      <c r="H40" s="185">
        <f t="shared" si="1"/>
        <v>0</v>
      </c>
    </row>
    <row r="41" spans="1:8" ht="24.95" customHeight="1" x14ac:dyDescent="0.25">
      <c r="A41" s="182">
        <v>20</v>
      </c>
      <c r="B41" s="198" t="s">
        <v>189</v>
      </c>
      <c r="C41" s="184">
        <v>0</v>
      </c>
      <c r="D41" s="184">
        <v>0</v>
      </c>
      <c r="E41" s="185">
        <f t="shared" si="0"/>
        <v>0</v>
      </c>
      <c r="F41" s="184">
        <v>159729.28678434156</v>
      </c>
      <c r="G41" s="184">
        <v>0</v>
      </c>
      <c r="H41" s="185">
        <f t="shared" si="1"/>
        <v>159729.28678434156</v>
      </c>
    </row>
    <row r="42" spans="1:8" ht="33" customHeight="1" x14ac:dyDescent="0.25">
      <c r="A42" s="182">
        <v>21</v>
      </c>
      <c r="B42" s="201" t="s">
        <v>190</v>
      </c>
      <c r="C42" s="184"/>
      <c r="D42" s="184"/>
      <c r="E42" s="185">
        <f t="shared" si="0"/>
        <v>0</v>
      </c>
      <c r="F42" s="184"/>
      <c r="G42" s="184"/>
      <c r="H42" s="185">
        <f t="shared" si="1"/>
        <v>0</v>
      </c>
    </row>
    <row r="43" spans="1:8" x14ac:dyDescent="0.25">
      <c r="A43" s="182">
        <v>22</v>
      </c>
      <c r="B43" s="202" t="s">
        <v>191</v>
      </c>
      <c r="C43" s="184">
        <f>SUM(C6,C13,C18,C19,C20,C21,C22,C23,C24,C25,C26,C27,C28,C29,C32,C33,C34,C37,C40,C41,C42)</f>
        <v>-1914549.0035134782</v>
      </c>
      <c r="D43" s="184">
        <f>SUM(D6,D13,D18,D19,D20,D21,D22,D23,D24,D25,D26,D27,D28,D29,D32,D33,D34,D37,D40,D41,D42)</f>
        <v>15015.280431110004</v>
      </c>
      <c r="E43" s="185">
        <f t="shared" si="0"/>
        <v>-1899533.7230823683</v>
      </c>
      <c r="F43" s="184">
        <v>-1297792.4725567482</v>
      </c>
      <c r="G43" s="184">
        <v>140387.48284349544</v>
      </c>
      <c r="H43" s="185">
        <f t="shared" si="1"/>
        <v>-1157404.9897132528</v>
      </c>
    </row>
    <row r="44" spans="1:8" x14ac:dyDescent="0.25">
      <c r="A44" s="182">
        <v>23</v>
      </c>
      <c r="B44" s="202" t="s">
        <v>192</v>
      </c>
      <c r="C44" s="184">
        <v>-581100.91807421297</v>
      </c>
      <c r="D44" s="184"/>
      <c r="E44" s="185">
        <f t="shared" si="0"/>
        <v>-581100.91807421297</v>
      </c>
      <c r="F44" s="184"/>
      <c r="G44" s="184"/>
      <c r="H44" s="185">
        <f t="shared" si="1"/>
        <v>0</v>
      </c>
    </row>
    <row r="45" spans="1:8" x14ac:dyDescent="0.25">
      <c r="A45" s="182">
        <v>24</v>
      </c>
      <c r="B45" s="202" t="s">
        <v>193</v>
      </c>
      <c r="C45" s="184">
        <f>C43-C44</f>
        <v>-1333448.0854392652</v>
      </c>
      <c r="D45" s="184">
        <f>D43-D44</f>
        <v>15015.280431110004</v>
      </c>
      <c r="E45" s="185">
        <f t="shared" si="0"/>
        <v>-1318432.8050081553</v>
      </c>
      <c r="F45" s="184">
        <v>-1297792.4725567482</v>
      </c>
      <c r="G45" s="184">
        <v>140387.48284349544</v>
      </c>
      <c r="H45" s="185">
        <f t="shared" si="1"/>
        <v>-1157404.9897132528</v>
      </c>
    </row>
    <row r="47" spans="1:8" x14ac:dyDescent="0.25">
      <c r="E47" s="849"/>
      <c r="F47" s="850"/>
      <c r="G47" s="850"/>
      <c r="H47" s="849"/>
    </row>
    <row r="49" spans="3:8" x14ac:dyDescent="0.25">
      <c r="H49" s="167"/>
    </row>
    <row r="51" spans="3:8" x14ac:dyDescent="0.25">
      <c r="C51" s="136"/>
      <c r="D51" s="136"/>
      <c r="E51" s="136"/>
      <c r="F51" s="136"/>
      <c r="G51" s="136"/>
      <c r="H51" s="136"/>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8F870-7987-4BFA-BE16-7DE101775440}">
  <dimension ref="A1:J51"/>
  <sheetViews>
    <sheetView zoomScaleNormal="100" workbookViewId="0">
      <selection activeCell="C6" sqref="C6:H43"/>
    </sheetView>
  </sheetViews>
  <sheetFormatPr defaultRowHeight="15" x14ac:dyDescent="0.25"/>
  <cols>
    <col min="1" max="1" width="9.140625" style="173"/>
    <col min="2" max="2" width="87.5703125" bestFit="1" customWidth="1"/>
    <col min="3" max="3" width="16.42578125" customWidth="1"/>
    <col min="4" max="4" width="16.28515625" customWidth="1"/>
    <col min="5" max="5" width="12.7109375" customWidth="1"/>
    <col min="6" max="7" width="14.28515625" customWidth="1"/>
    <col min="8" max="8" width="12.7109375" customWidth="1"/>
  </cols>
  <sheetData>
    <row r="1" spans="1:8" ht="15.75" x14ac:dyDescent="0.3">
      <c r="A1" s="23" t="s">
        <v>41</v>
      </c>
      <c r="B1" s="24" t="str">
        <f>Info!C2</f>
        <v>სს სილქ ბანკი</v>
      </c>
      <c r="C1" s="25"/>
      <c r="D1" s="22"/>
      <c r="E1" s="22"/>
      <c r="F1" s="22"/>
      <c r="G1" s="22"/>
    </row>
    <row r="2" spans="1:8" ht="15.75" x14ac:dyDescent="0.3">
      <c r="A2" s="23" t="s">
        <v>42</v>
      </c>
      <c r="B2" s="26">
        <f>'1. key ratios'!B2</f>
        <v>45382</v>
      </c>
      <c r="C2" s="25"/>
      <c r="D2" s="22"/>
      <c r="E2" s="22"/>
      <c r="F2" s="22"/>
      <c r="G2" s="22"/>
    </row>
    <row r="3" spans="1:8" ht="16.5" thickBot="1" x14ac:dyDescent="0.35">
      <c r="A3" s="23"/>
      <c r="B3" s="25"/>
      <c r="C3" s="25"/>
      <c r="D3" s="22"/>
      <c r="E3" s="22"/>
      <c r="F3" s="22"/>
      <c r="G3" s="22"/>
    </row>
    <row r="4" spans="1:8" ht="15.75" x14ac:dyDescent="0.3">
      <c r="A4" s="132" t="s">
        <v>46</v>
      </c>
      <c r="B4" s="203" t="s">
        <v>194</v>
      </c>
      <c r="C4" s="204" t="s">
        <v>92</v>
      </c>
      <c r="D4" s="204"/>
      <c r="E4" s="204"/>
      <c r="F4" s="204" t="s">
        <v>93</v>
      </c>
      <c r="G4" s="204"/>
      <c r="H4" s="205"/>
    </row>
    <row r="5" spans="1:8" x14ac:dyDescent="0.25">
      <c r="A5" s="132"/>
      <c r="B5" s="203"/>
      <c r="C5" s="181" t="s">
        <v>94</v>
      </c>
      <c r="D5" s="181" t="s">
        <v>95</v>
      </c>
      <c r="E5" s="181" t="s">
        <v>96</v>
      </c>
      <c r="F5" s="181" t="s">
        <v>94</v>
      </c>
      <c r="G5" s="181" t="s">
        <v>95</v>
      </c>
      <c r="H5" s="206" t="s">
        <v>96</v>
      </c>
    </row>
    <row r="6" spans="1:8" ht="15.75" x14ac:dyDescent="0.3">
      <c r="A6" s="143">
        <v>1</v>
      </c>
      <c r="B6" s="207" t="s">
        <v>195</v>
      </c>
      <c r="C6" s="208">
        <v>0</v>
      </c>
      <c r="D6" s="208">
        <v>0</v>
      </c>
      <c r="E6" s="209">
        <f t="shared" ref="E6:E43" si="0">C6+D6</f>
        <v>0</v>
      </c>
      <c r="F6" s="208">
        <v>0</v>
      </c>
      <c r="G6" s="208">
        <v>0</v>
      </c>
      <c r="H6" s="210">
        <f t="shared" ref="H6:H43" si="1">F6+G6</f>
        <v>0</v>
      </c>
    </row>
    <row r="7" spans="1:8" ht="27" x14ac:dyDescent="0.3">
      <c r="A7" s="143">
        <v>2</v>
      </c>
      <c r="B7" s="207" t="s">
        <v>196</v>
      </c>
      <c r="C7" s="208">
        <v>0</v>
      </c>
      <c r="D7" s="208">
        <v>0</v>
      </c>
      <c r="E7" s="209">
        <f t="shared" si="0"/>
        <v>0</v>
      </c>
      <c r="F7" s="208"/>
      <c r="G7" s="208"/>
      <c r="H7" s="210">
        <f t="shared" si="1"/>
        <v>0</v>
      </c>
    </row>
    <row r="8" spans="1:8" ht="15.75" x14ac:dyDescent="0.3">
      <c r="A8" s="143">
        <v>3</v>
      </c>
      <c r="B8" s="207" t="s">
        <v>197</v>
      </c>
      <c r="C8" s="208">
        <f>C9+C10</f>
        <v>418600</v>
      </c>
      <c r="D8" s="208">
        <f>D9+D10</f>
        <v>771394860</v>
      </c>
      <c r="E8" s="209">
        <f t="shared" si="0"/>
        <v>771813460</v>
      </c>
      <c r="F8" s="208">
        <v>117000</v>
      </c>
      <c r="G8" s="208">
        <v>15874480</v>
      </c>
      <c r="H8" s="210">
        <f t="shared" si="1"/>
        <v>15991480</v>
      </c>
    </row>
    <row r="9" spans="1:8" ht="15.75" x14ac:dyDescent="0.3">
      <c r="A9" s="143">
        <v>3.1</v>
      </c>
      <c r="B9" s="211" t="s">
        <v>198</v>
      </c>
      <c r="C9" s="208">
        <v>418600</v>
      </c>
      <c r="D9" s="208">
        <v>771394860</v>
      </c>
      <c r="E9" s="209">
        <f t="shared" si="0"/>
        <v>771813460</v>
      </c>
      <c r="F9" s="208">
        <v>117000</v>
      </c>
      <c r="G9" s="208">
        <v>15874480</v>
      </c>
      <c r="H9" s="210">
        <f t="shared" si="1"/>
        <v>15991480</v>
      </c>
    </row>
    <row r="10" spans="1:8" ht="15.75" x14ac:dyDescent="0.3">
      <c r="A10" s="143">
        <v>3.2</v>
      </c>
      <c r="B10" s="211" t="s">
        <v>199</v>
      </c>
      <c r="C10" s="208">
        <v>0</v>
      </c>
      <c r="D10" s="208">
        <v>0</v>
      </c>
      <c r="E10" s="209">
        <f t="shared" si="0"/>
        <v>0</v>
      </c>
      <c r="F10" s="208"/>
      <c r="G10" s="208"/>
      <c r="H10" s="210">
        <f t="shared" si="1"/>
        <v>0</v>
      </c>
    </row>
    <row r="11" spans="1:8" ht="27" x14ac:dyDescent="0.3">
      <c r="A11" s="143">
        <v>4</v>
      </c>
      <c r="B11" s="207" t="s">
        <v>200</v>
      </c>
      <c r="C11" s="208">
        <f>C12+C13</f>
        <v>0</v>
      </c>
      <c r="D11" s="208">
        <f>D12+D13</f>
        <v>0</v>
      </c>
      <c r="E11" s="209">
        <f t="shared" si="0"/>
        <v>0</v>
      </c>
      <c r="F11" s="208">
        <v>2124000</v>
      </c>
      <c r="G11" s="208">
        <v>0</v>
      </c>
      <c r="H11" s="210">
        <f t="shared" si="1"/>
        <v>2124000</v>
      </c>
    </row>
    <row r="12" spans="1:8" ht="15.75" x14ac:dyDescent="0.3">
      <c r="A12" s="143">
        <v>4.0999999999999996</v>
      </c>
      <c r="B12" s="211" t="s">
        <v>201</v>
      </c>
      <c r="C12" s="208">
        <v>0</v>
      </c>
      <c r="D12" s="208">
        <v>0</v>
      </c>
      <c r="E12" s="209">
        <f t="shared" si="0"/>
        <v>0</v>
      </c>
      <c r="F12" s="208">
        <v>2124000</v>
      </c>
      <c r="G12" s="208">
        <v>0</v>
      </c>
      <c r="H12" s="210">
        <f t="shared" si="1"/>
        <v>2124000</v>
      </c>
    </row>
    <row r="13" spans="1:8" ht="15.75" x14ac:dyDescent="0.3">
      <c r="A13" s="143">
        <v>4.2</v>
      </c>
      <c r="B13" s="211" t="s">
        <v>202</v>
      </c>
      <c r="C13" s="208">
        <v>0</v>
      </c>
      <c r="D13" s="208">
        <v>0</v>
      </c>
      <c r="E13" s="209">
        <f t="shared" si="0"/>
        <v>0</v>
      </c>
      <c r="F13" s="208"/>
      <c r="G13" s="208"/>
      <c r="H13" s="210">
        <f t="shared" si="1"/>
        <v>0</v>
      </c>
    </row>
    <row r="14" spans="1:8" ht="15.75" x14ac:dyDescent="0.3">
      <c r="A14" s="143">
        <v>5</v>
      </c>
      <c r="B14" s="212" t="s">
        <v>203</v>
      </c>
      <c r="C14" s="208">
        <f>C15+C16+C17+C23+C24+C25+C26</f>
        <v>1007120</v>
      </c>
      <c r="D14" s="208">
        <f>D15+D16+D17+D23+D24+D25+D26</f>
        <v>97026932</v>
      </c>
      <c r="E14" s="209">
        <f t="shared" si="0"/>
        <v>98034052</v>
      </c>
      <c r="F14" s="208">
        <v>600000</v>
      </c>
      <c r="G14" s="208">
        <v>27102342.550000001</v>
      </c>
      <c r="H14" s="210">
        <f t="shared" si="1"/>
        <v>27702342.550000001</v>
      </c>
    </row>
    <row r="15" spans="1:8" ht="15.75" x14ac:dyDescent="0.3">
      <c r="A15" s="143">
        <v>5.0999999999999996</v>
      </c>
      <c r="B15" s="213" t="s">
        <v>204</v>
      </c>
      <c r="C15" s="208">
        <v>986620</v>
      </c>
      <c r="D15" s="208">
        <v>1795825</v>
      </c>
      <c r="E15" s="209">
        <f t="shared" si="0"/>
        <v>2782445</v>
      </c>
      <c r="F15" s="208">
        <v>585000</v>
      </c>
      <c r="G15" s="208">
        <v>30724.799999999999</v>
      </c>
      <c r="H15" s="210">
        <f t="shared" si="1"/>
        <v>615724.80000000005</v>
      </c>
    </row>
    <row r="16" spans="1:8" ht="15.75" x14ac:dyDescent="0.3">
      <c r="A16" s="143">
        <v>5.2</v>
      </c>
      <c r="B16" s="213" t="s">
        <v>205</v>
      </c>
      <c r="C16" s="208">
        <v>0</v>
      </c>
      <c r="D16" s="208">
        <v>0</v>
      </c>
      <c r="E16" s="209">
        <f t="shared" si="0"/>
        <v>0</v>
      </c>
      <c r="F16" s="208">
        <v>0</v>
      </c>
      <c r="G16" s="208">
        <v>0</v>
      </c>
      <c r="H16" s="210">
        <f t="shared" si="1"/>
        <v>0</v>
      </c>
    </row>
    <row r="17" spans="1:10" ht="15.75" x14ac:dyDescent="0.3">
      <c r="A17" s="143">
        <v>5.3</v>
      </c>
      <c r="B17" s="213" t="s">
        <v>206</v>
      </c>
      <c r="C17" s="208">
        <f>C18+C19+C20+C21+C22</f>
        <v>0</v>
      </c>
      <c r="D17" s="208">
        <f>D18+D19+D20+D21+D22</f>
        <v>82942830</v>
      </c>
      <c r="E17" s="209">
        <f t="shared" si="0"/>
        <v>82942830</v>
      </c>
      <c r="F17" s="208">
        <v>0</v>
      </c>
      <c r="G17" s="208">
        <v>27071617.75</v>
      </c>
      <c r="H17" s="210">
        <f t="shared" si="1"/>
        <v>27071617.75</v>
      </c>
    </row>
    <row r="18" spans="1:10" ht="15.75" x14ac:dyDescent="0.3">
      <c r="A18" s="143" t="s">
        <v>207</v>
      </c>
      <c r="B18" s="214" t="s">
        <v>208</v>
      </c>
      <c r="C18" s="208">
        <v>0</v>
      </c>
      <c r="D18" s="208">
        <v>22641426</v>
      </c>
      <c r="E18" s="209">
        <f t="shared" si="0"/>
        <v>22641426</v>
      </c>
      <c r="F18" s="208">
        <v>0</v>
      </c>
      <c r="G18" s="208">
        <v>6863152.2000000002</v>
      </c>
      <c r="H18" s="210">
        <f t="shared" si="1"/>
        <v>6863152.2000000002</v>
      </c>
    </row>
    <row r="19" spans="1:10" ht="15.75" x14ac:dyDescent="0.3">
      <c r="A19" s="143" t="s">
        <v>209</v>
      </c>
      <c r="B19" s="215" t="s">
        <v>210</v>
      </c>
      <c r="C19" s="208">
        <v>0</v>
      </c>
      <c r="D19" s="208">
        <v>19422062</v>
      </c>
      <c r="E19" s="209">
        <f t="shared" si="0"/>
        <v>19422062</v>
      </c>
      <c r="F19" s="208">
        <v>0</v>
      </c>
      <c r="G19" s="208">
        <v>6457072.7599999998</v>
      </c>
      <c r="H19" s="210">
        <f t="shared" si="1"/>
        <v>6457072.7599999998</v>
      </c>
    </row>
    <row r="20" spans="1:10" ht="15.75" x14ac:dyDescent="0.3">
      <c r="A20" s="143" t="s">
        <v>211</v>
      </c>
      <c r="B20" s="215" t="s">
        <v>212</v>
      </c>
      <c r="C20" s="208">
        <v>0</v>
      </c>
      <c r="D20" s="208">
        <v>1757336</v>
      </c>
      <c r="E20" s="209">
        <f t="shared" si="0"/>
        <v>1757336</v>
      </c>
      <c r="F20" s="208">
        <v>0</v>
      </c>
      <c r="G20" s="208">
        <v>0</v>
      </c>
      <c r="H20" s="210">
        <f t="shared" si="1"/>
        <v>0</v>
      </c>
    </row>
    <row r="21" spans="1:10" ht="15.75" x14ac:dyDescent="0.3">
      <c r="A21" s="143" t="s">
        <v>213</v>
      </c>
      <c r="B21" s="215" t="s">
        <v>214</v>
      </c>
      <c r="C21" s="208">
        <v>0</v>
      </c>
      <c r="D21" s="208">
        <v>39122006</v>
      </c>
      <c r="E21" s="209">
        <f t="shared" si="0"/>
        <v>39122006</v>
      </c>
      <c r="F21" s="208">
        <v>0</v>
      </c>
      <c r="G21" s="208">
        <v>13751392.789999999</v>
      </c>
      <c r="H21" s="210">
        <f t="shared" si="1"/>
        <v>13751392.789999999</v>
      </c>
    </row>
    <row r="22" spans="1:10" ht="15.75" x14ac:dyDescent="0.3">
      <c r="A22" s="143" t="s">
        <v>215</v>
      </c>
      <c r="B22" s="216" t="s">
        <v>216</v>
      </c>
      <c r="C22" s="208">
        <v>0</v>
      </c>
      <c r="D22" s="208">
        <v>0</v>
      </c>
      <c r="E22" s="209">
        <f t="shared" si="0"/>
        <v>0</v>
      </c>
      <c r="F22" s="208">
        <v>0</v>
      </c>
      <c r="G22" s="208">
        <v>0</v>
      </c>
      <c r="H22" s="210">
        <f t="shared" si="1"/>
        <v>0</v>
      </c>
    </row>
    <row r="23" spans="1:10" ht="15.75" x14ac:dyDescent="0.3">
      <c r="A23" s="143">
        <v>5.4</v>
      </c>
      <c r="B23" s="213" t="s">
        <v>217</v>
      </c>
      <c r="C23" s="208">
        <v>20500</v>
      </c>
      <c r="D23" s="208">
        <v>12288277</v>
      </c>
      <c r="E23" s="209">
        <f t="shared" si="0"/>
        <v>12308777</v>
      </c>
      <c r="F23" s="208">
        <v>15000</v>
      </c>
      <c r="G23" s="208">
        <v>0</v>
      </c>
      <c r="H23" s="210">
        <f t="shared" si="1"/>
        <v>15000</v>
      </c>
    </row>
    <row r="24" spans="1:10" ht="15.75" x14ac:dyDescent="0.3">
      <c r="A24" s="143">
        <v>5.5</v>
      </c>
      <c r="B24" s="213" t="s">
        <v>218</v>
      </c>
      <c r="C24" s="208">
        <v>0</v>
      </c>
      <c r="D24" s="208">
        <v>0</v>
      </c>
      <c r="E24" s="209">
        <f t="shared" si="0"/>
        <v>0</v>
      </c>
      <c r="F24" s="208">
        <v>0</v>
      </c>
      <c r="G24" s="208">
        <v>0</v>
      </c>
      <c r="H24" s="210">
        <f t="shared" si="1"/>
        <v>0</v>
      </c>
    </row>
    <row r="25" spans="1:10" ht="15.75" x14ac:dyDescent="0.3">
      <c r="A25" s="143">
        <v>5.6</v>
      </c>
      <c r="B25" s="213" t="s">
        <v>219</v>
      </c>
      <c r="C25" s="208">
        <v>0</v>
      </c>
      <c r="D25" s="208">
        <v>0</v>
      </c>
      <c r="E25" s="209">
        <f t="shared" si="0"/>
        <v>0</v>
      </c>
      <c r="F25" s="208">
        <v>0</v>
      </c>
      <c r="G25" s="208">
        <v>0</v>
      </c>
      <c r="H25" s="210">
        <f t="shared" si="1"/>
        <v>0</v>
      </c>
    </row>
    <row r="26" spans="1:10" ht="15.75" x14ac:dyDescent="0.3">
      <c r="A26" s="143">
        <v>5.7</v>
      </c>
      <c r="B26" s="213" t="s">
        <v>216</v>
      </c>
      <c r="C26" s="208">
        <v>0</v>
      </c>
      <c r="D26" s="208">
        <v>0</v>
      </c>
      <c r="E26" s="209">
        <f t="shared" si="0"/>
        <v>0</v>
      </c>
      <c r="F26" s="208">
        <v>0</v>
      </c>
      <c r="G26" s="208">
        <v>0</v>
      </c>
      <c r="H26" s="210">
        <f t="shared" si="1"/>
        <v>0</v>
      </c>
    </row>
    <row r="27" spans="1:10" ht="15.75" x14ac:dyDescent="0.3">
      <c r="A27" s="143">
        <v>6</v>
      </c>
      <c r="B27" s="212" t="s">
        <v>220</v>
      </c>
      <c r="C27" s="208">
        <v>2001074</v>
      </c>
      <c r="D27" s="208">
        <v>1278920</v>
      </c>
      <c r="E27" s="209">
        <f t="shared" si="0"/>
        <v>3279994</v>
      </c>
      <c r="F27" s="208">
        <v>581249.67000000004</v>
      </c>
      <c r="G27" s="208">
        <v>2045714.2</v>
      </c>
      <c r="H27" s="210">
        <f t="shared" si="1"/>
        <v>2626963.87</v>
      </c>
    </row>
    <row r="28" spans="1:10" ht="15.75" x14ac:dyDescent="0.3">
      <c r="A28" s="143">
        <v>7</v>
      </c>
      <c r="B28" s="212" t="s">
        <v>221</v>
      </c>
      <c r="C28" s="208">
        <v>1546857</v>
      </c>
      <c r="D28" s="208">
        <v>2099823</v>
      </c>
      <c r="E28" s="209">
        <f t="shared" si="0"/>
        <v>3646680</v>
      </c>
      <c r="F28" s="208">
        <v>729500</v>
      </c>
      <c r="G28" s="208">
        <v>25604</v>
      </c>
      <c r="H28" s="210">
        <f t="shared" si="1"/>
        <v>755104</v>
      </c>
    </row>
    <row r="29" spans="1:10" ht="15.75" x14ac:dyDescent="0.3">
      <c r="A29" s="143">
        <v>8</v>
      </c>
      <c r="B29" s="212" t="s">
        <v>222</v>
      </c>
      <c r="C29" s="208">
        <v>0</v>
      </c>
      <c r="D29" s="208">
        <v>0</v>
      </c>
      <c r="E29" s="209">
        <f t="shared" si="0"/>
        <v>0</v>
      </c>
      <c r="F29" s="208"/>
      <c r="G29" s="208"/>
      <c r="H29" s="210">
        <f t="shared" si="1"/>
        <v>0</v>
      </c>
    </row>
    <row r="30" spans="1:10" ht="15.75" x14ac:dyDescent="0.3">
      <c r="A30" s="143">
        <v>9</v>
      </c>
      <c r="B30" s="207" t="s">
        <v>223</v>
      </c>
      <c r="C30" s="208">
        <f>C31+C32+C33+C34+C35+C36+C37</f>
        <v>1315000</v>
      </c>
      <c r="D30" s="208">
        <f>D31+D32+D33+D34+D35+D36+D37</f>
        <v>16171800</v>
      </c>
      <c r="E30" s="209">
        <f t="shared" si="0"/>
        <v>17486800</v>
      </c>
      <c r="F30" s="208">
        <v>10805574</v>
      </c>
      <c r="G30" s="208">
        <v>10797876.789999999</v>
      </c>
      <c r="H30" s="210">
        <f t="shared" si="1"/>
        <v>21603450.789999999</v>
      </c>
    </row>
    <row r="31" spans="1:10" ht="27" x14ac:dyDescent="0.3">
      <c r="A31" s="143">
        <v>9.1</v>
      </c>
      <c r="B31" s="211" t="s">
        <v>224</v>
      </c>
      <c r="C31" s="208">
        <v>0</v>
      </c>
      <c r="D31" s="208">
        <v>0</v>
      </c>
      <c r="E31" s="209">
        <f>C31+D31</f>
        <v>0</v>
      </c>
      <c r="F31" s="208">
        <v>8236674</v>
      </c>
      <c r="G31" s="208">
        <v>2838056.79</v>
      </c>
      <c r="H31" s="210">
        <f t="shared" si="1"/>
        <v>11074730.789999999</v>
      </c>
      <c r="J31" s="60"/>
    </row>
    <row r="32" spans="1:10" ht="27" x14ac:dyDescent="0.3">
      <c r="A32" s="143">
        <v>9.1999999999999993</v>
      </c>
      <c r="B32" s="211" t="s">
        <v>225</v>
      </c>
      <c r="C32" s="208">
        <v>1315000</v>
      </c>
      <c r="D32" s="208">
        <v>16171800</v>
      </c>
      <c r="E32" s="209">
        <f t="shared" si="0"/>
        <v>17486800</v>
      </c>
      <c r="F32" s="208">
        <v>2568900</v>
      </c>
      <c r="G32" s="208">
        <v>7959820</v>
      </c>
      <c r="H32" s="210">
        <f t="shared" si="1"/>
        <v>10528720</v>
      </c>
    </row>
    <row r="33" spans="1:8" ht="27" x14ac:dyDescent="0.3">
      <c r="A33" s="143">
        <v>9.3000000000000007</v>
      </c>
      <c r="B33" s="211" t="s">
        <v>226</v>
      </c>
      <c r="C33" s="208">
        <v>0</v>
      </c>
      <c r="D33" s="208">
        <v>0</v>
      </c>
      <c r="E33" s="209">
        <f t="shared" si="0"/>
        <v>0</v>
      </c>
      <c r="F33" s="208"/>
      <c r="G33" s="208"/>
      <c r="H33" s="210">
        <f t="shared" si="1"/>
        <v>0</v>
      </c>
    </row>
    <row r="34" spans="1:8" ht="15.75" x14ac:dyDescent="0.3">
      <c r="A34" s="143">
        <v>9.4</v>
      </c>
      <c r="B34" s="211" t="s">
        <v>227</v>
      </c>
      <c r="C34" s="208">
        <v>0</v>
      </c>
      <c r="D34" s="208">
        <v>0</v>
      </c>
      <c r="E34" s="209">
        <f t="shared" si="0"/>
        <v>0</v>
      </c>
      <c r="F34" s="208"/>
      <c r="G34" s="208"/>
      <c r="H34" s="210">
        <f t="shared" si="1"/>
        <v>0</v>
      </c>
    </row>
    <row r="35" spans="1:8" ht="15.75" x14ac:dyDescent="0.3">
      <c r="A35" s="143">
        <v>9.5</v>
      </c>
      <c r="B35" s="211" t="s">
        <v>228</v>
      </c>
      <c r="C35" s="208">
        <v>0</v>
      </c>
      <c r="D35" s="208">
        <v>0</v>
      </c>
      <c r="E35" s="209">
        <f t="shared" si="0"/>
        <v>0</v>
      </c>
      <c r="F35" s="208"/>
      <c r="G35" s="208"/>
      <c r="H35" s="210">
        <f t="shared" si="1"/>
        <v>0</v>
      </c>
    </row>
    <row r="36" spans="1:8" ht="27" x14ac:dyDescent="0.3">
      <c r="A36" s="143">
        <v>9.6</v>
      </c>
      <c r="B36" s="211" t="s">
        <v>229</v>
      </c>
      <c r="C36" s="208">
        <v>0</v>
      </c>
      <c r="D36" s="208">
        <v>0</v>
      </c>
      <c r="E36" s="209">
        <f t="shared" si="0"/>
        <v>0</v>
      </c>
      <c r="F36" s="208"/>
      <c r="G36" s="208"/>
      <c r="H36" s="210">
        <f t="shared" si="1"/>
        <v>0</v>
      </c>
    </row>
    <row r="37" spans="1:8" ht="27" x14ac:dyDescent="0.3">
      <c r="A37" s="143">
        <v>9.6999999999999993</v>
      </c>
      <c r="B37" s="211" t="s">
        <v>230</v>
      </c>
      <c r="C37" s="208">
        <v>0</v>
      </c>
      <c r="D37" s="208">
        <v>0</v>
      </c>
      <c r="E37" s="209">
        <f t="shared" si="0"/>
        <v>0</v>
      </c>
      <c r="F37" s="208"/>
      <c r="G37" s="208"/>
      <c r="H37" s="210">
        <f t="shared" si="1"/>
        <v>0</v>
      </c>
    </row>
    <row r="38" spans="1:8" ht="15.75" x14ac:dyDescent="0.3">
      <c r="A38" s="143">
        <v>10</v>
      </c>
      <c r="B38" s="212" t="s">
        <v>231</v>
      </c>
      <c r="C38" s="208">
        <f>C39+C40+C41+C42</f>
        <v>4298369.49</v>
      </c>
      <c r="D38" s="208">
        <f>D39+D40+D41+D42</f>
        <v>4581021</v>
      </c>
      <c r="E38" s="209">
        <f t="shared" si="0"/>
        <v>8879390.4900000002</v>
      </c>
      <c r="F38" s="208">
        <v>1449135.13</v>
      </c>
      <c r="G38" s="208">
        <v>1553519</v>
      </c>
      <c r="H38" s="210">
        <f t="shared" si="1"/>
        <v>3002654.13</v>
      </c>
    </row>
    <row r="39" spans="1:8" ht="15.75" x14ac:dyDescent="0.3">
      <c r="A39" s="143">
        <v>10.1</v>
      </c>
      <c r="B39" s="211" t="s">
        <v>232</v>
      </c>
      <c r="C39" s="208">
        <v>50993.489999999991</v>
      </c>
      <c r="D39" s="208">
        <v>0</v>
      </c>
      <c r="E39" s="209">
        <f t="shared" si="0"/>
        <v>50993.489999999991</v>
      </c>
      <c r="F39" s="208">
        <v>18260.129999999997</v>
      </c>
      <c r="G39" s="208">
        <v>0</v>
      </c>
      <c r="H39" s="210">
        <f t="shared" si="1"/>
        <v>18260.129999999997</v>
      </c>
    </row>
    <row r="40" spans="1:8" ht="27" x14ac:dyDescent="0.3">
      <c r="A40" s="143">
        <v>10.199999999999999</v>
      </c>
      <c r="B40" s="211" t="s">
        <v>233</v>
      </c>
      <c r="C40" s="208">
        <v>1583433</v>
      </c>
      <c r="D40" s="208">
        <v>2215964</v>
      </c>
      <c r="E40" s="209">
        <f t="shared" si="0"/>
        <v>3799397</v>
      </c>
      <c r="F40" s="208">
        <v>210734</v>
      </c>
      <c r="G40" s="208">
        <v>549128</v>
      </c>
      <c r="H40" s="210">
        <f t="shared" si="1"/>
        <v>759862</v>
      </c>
    </row>
    <row r="41" spans="1:8" ht="27" x14ac:dyDescent="0.3">
      <c r="A41" s="143">
        <v>10.3</v>
      </c>
      <c r="B41" s="211" t="s">
        <v>234</v>
      </c>
      <c r="C41" s="208">
        <v>765707</v>
      </c>
      <c r="D41" s="208">
        <v>15247</v>
      </c>
      <c r="E41" s="209">
        <f t="shared" si="0"/>
        <v>780954</v>
      </c>
      <c r="F41" s="208">
        <v>694660</v>
      </c>
      <c r="G41" s="208">
        <v>423768</v>
      </c>
      <c r="H41" s="210">
        <f t="shared" si="1"/>
        <v>1118428</v>
      </c>
    </row>
    <row r="42" spans="1:8" ht="27" x14ac:dyDescent="0.3">
      <c r="A42" s="143">
        <v>10.4</v>
      </c>
      <c r="B42" s="211" t="s">
        <v>235</v>
      </c>
      <c r="C42" s="208">
        <v>1898236</v>
      </c>
      <c r="D42" s="208">
        <v>2349810</v>
      </c>
      <c r="E42" s="209">
        <f t="shared" si="0"/>
        <v>4248046</v>
      </c>
      <c r="F42" s="208">
        <v>525481</v>
      </c>
      <c r="G42" s="208">
        <v>580623</v>
      </c>
      <c r="H42" s="210">
        <f t="shared" si="1"/>
        <v>1106104</v>
      </c>
    </row>
    <row r="43" spans="1:8" ht="15.75" x14ac:dyDescent="0.3">
      <c r="A43" s="143">
        <v>11</v>
      </c>
      <c r="B43" s="217" t="s">
        <v>236</v>
      </c>
      <c r="C43" s="208">
        <v>0</v>
      </c>
      <c r="D43" s="208">
        <v>0</v>
      </c>
      <c r="E43" s="209">
        <f t="shared" si="0"/>
        <v>0</v>
      </c>
      <c r="F43" s="208"/>
      <c r="G43" s="208"/>
      <c r="H43" s="210">
        <f t="shared" si="1"/>
        <v>0</v>
      </c>
    </row>
    <row r="44" spans="1:8" ht="15.75" x14ac:dyDescent="0.3">
      <c r="C44" s="218"/>
      <c r="D44" s="218"/>
      <c r="E44" s="218"/>
      <c r="F44" s="218"/>
      <c r="G44" s="218"/>
      <c r="H44" s="218"/>
    </row>
    <row r="45" spans="1:8" ht="15.75" x14ac:dyDescent="0.3">
      <c r="C45" s="218"/>
      <c r="D45" s="218"/>
      <c r="E45" s="218"/>
      <c r="F45" s="218"/>
      <c r="G45" s="218"/>
      <c r="H45" s="218"/>
    </row>
    <row r="46" spans="1:8" ht="15.75" x14ac:dyDescent="0.3">
      <c r="C46" s="218"/>
      <c r="D46" s="218"/>
      <c r="E46" s="218"/>
      <c r="F46" s="218"/>
      <c r="G46" s="218"/>
      <c r="H46" s="218"/>
    </row>
    <row r="47" spans="1:8" ht="15.75" x14ac:dyDescent="0.3">
      <c r="C47" s="218"/>
      <c r="D47" s="218"/>
      <c r="E47" s="218"/>
      <c r="F47" s="218"/>
      <c r="G47" s="218"/>
      <c r="H47" s="218"/>
    </row>
    <row r="51" spans="5:6" x14ac:dyDescent="0.25">
      <c r="E51" s="60"/>
      <c r="F51" s="60"/>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ED871-03AB-4457-BECA-9374C0D8AAD7}">
  <dimension ref="A1:N22"/>
  <sheetViews>
    <sheetView zoomScaleNormal="100" workbookViewId="0">
      <pane xSplit="1" ySplit="4" topLeftCell="B5" activePane="bottomRight" state="frozen"/>
      <selection activeCell="D46" sqref="D46"/>
      <selection pane="topRight" activeCell="D46" sqref="D46"/>
      <selection pane="bottomLeft" activeCell="D46" sqref="D46"/>
      <selection pane="bottomRight" activeCell="C6" sqref="C6:G13"/>
    </sheetView>
  </sheetViews>
  <sheetFormatPr defaultColWidth="9.140625" defaultRowHeight="13.5" x14ac:dyDescent="0.25"/>
  <cols>
    <col min="1" max="1" width="9.5703125" style="22" bestFit="1" customWidth="1"/>
    <col min="2" max="2" width="93.5703125" style="22" customWidth="1"/>
    <col min="3" max="5" width="11.7109375" style="22" customWidth="1"/>
    <col min="6" max="6" width="11.7109375" style="219" customWidth="1"/>
    <col min="7" max="7" width="13.7109375" style="219" customWidth="1"/>
    <col min="8" max="8" width="9.7109375" style="219" customWidth="1"/>
    <col min="9" max="16384" width="9.140625" style="219"/>
  </cols>
  <sheetData>
    <row r="1" spans="1:14" ht="15" x14ac:dyDescent="0.3">
      <c r="A1" s="23" t="s">
        <v>41</v>
      </c>
      <c r="B1" s="25" t="str">
        <f>Info!C2</f>
        <v>სს სილქ ბანკი</v>
      </c>
      <c r="C1" s="25"/>
      <c r="D1" s="25"/>
    </row>
    <row r="2" spans="1:14" ht="15" x14ac:dyDescent="0.3">
      <c r="A2" s="23" t="s">
        <v>42</v>
      </c>
      <c r="B2" s="26">
        <f>'1. key ratios'!B2</f>
        <v>45382</v>
      </c>
      <c r="C2" s="25"/>
      <c r="D2" s="25"/>
    </row>
    <row r="3" spans="1:14" ht="15" x14ac:dyDescent="0.3">
      <c r="A3" s="23"/>
      <c r="B3" s="25"/>
      <c r="C3" s="25"/>
      <c r="D3" s="25"/>
    </row>
    <row r="4" spans="1:14" ht="40.5" customHeight="1" thickBot="1" x14ac:dyDescent="0.35">
      <c r="A4" s="220" t="s">
        <v>237</v>
      </c>
      <c r="B4" s="221" t="s">
        <v>16</v>
      </c>
      <c r="C4" s="222" t="s">
        <v>238</v>
      </c>
      <c r="D4" s="222"/>
    </row>
    <row r="5" spans="1:14" ht="15" customHeight="1" x14ac:dyDescent="0.2">
      <c r="A5" s="223" t="s">
        <v>46</v>
      </c>
      <c r="B5" s="224"/>
      <c r="C5" s="225" t="str">
        <f>INT((MONTH($B$2))/3)&amp;"Q"&amp;"-"&amp;YEAR($B$2)</f>
        <v>1Q-2024</v>
      </c>
      <c r="D5" s="225" t="str">
        <f>IF(INT(MONTH($B$2))=3, "4"&amp;"Q"&amp;"-"&amp;YEAR($B$2)-1, IF(INT(MONTH($B$2))=6, "1"&amp;"Q"&amp;"-"&amp;YEAR($B$2), IF(INT(MONTH($B$2))=9, "2"&amp;"Q"&amp;"-"&amp;YEAR($B$2),IF(INT(MONTH($B$2))=12, "3"&amp;"Q"&amp;"-"&amp;YEAR($B$2), 0))))</f>
        <v>4Q-2023</v>
      </c>
      <c r="E5" s="225" t="str">
        <f>IF(INT(MONTH($B$2))=3, "3"&amp;"Q"&amp;"-"&amp;YEAR($B$2)-1, IF(INT(MONTH($B$2))=6, "4"&amp;"Q"&amp;"-"&amp;YEAR($B$2)-1, IF(INT(MONTH($B$2))=9, "1"&amp;"Q"&amp;"-"&amp;YEAR($B$2),IF(INT(MONTH($B$2))=12, "2"&amp;"Q"&amp;"-"&amp;YEAR($B$2), 0))))</f>
        <v>3Q-2023</v>
      </c>
      <c r="F5" s="225" t="str">
        <f>IF(INT(MONTH($B$2))=3, "2"&amp;"Q"&amp;"-"&amp;YEAR($B$2)-1, IF(INT(MONTH($B$2))=6, "3"&amp;"Q"&amp;"-"&amp;YEAR($B$2)-1, IF(INT(MONTH($B$2))=9, "4"&amp;"Q"&amp;"-"&amp;YEAR($B$2)-1,IF(INT(MONTH($B$2))=12, "1"&amp;"Q"&amp;"-"&amp;YEAR($B$2), 0))))</f>
        <v>2Q-2023</v>
      </c>
      <c r="G5" s="225" t="str">
        <f>IF(INT(MONTH($B$2))=3, "1"&amp;"Q"&amp;"-"&amp;YEAR($B$2)-1, IF(INT(MONTH($B$2))=6, "2"&amp;"Q"&amp;"-"&amp;YEAR($B$2)-1, IF(INT(MONTH($B$2))=9, "3"&amp;"Q"&amp;"-"&amp;YEAR($B$2)-1,IF(INT(MONTH($B$2))=12, "4"&amp;"Q"&amp;"-"&amp;YEAR($B$2)-1, 0))))</f>
        <v>1Q-2023</v>
      </c>
    </row>
    <row r="6" spans="1:14" ht="15" customHeight="1" x14ac:dyDescent="0.2">
      <c r="A6" s="226">
        <v>1</v>
      </c>
      <c r="B6" s="227" t="s">
        <v>239</v>
      </c>
      <c r="C6" s="228">
        <f>C7+C9+C10</f>
        <v>116957037.78093955</v>
      </c>
      <c r="D6" s="228">
        <f>D7+D9+D10</f>
        <v>110764522.38074145</v>
      </c>
      <c r="E6" s="228">
        <f>E7+E9+E10</f>
        <v>79633223.293629467</v>
      </c>
      <c r="F6" s="228">
        <f>F7+F9+F10</f>
        <v>61938851.293507352</v>
      </c>
      <c r="G6" s="229">
        <f>G7+G9+G10</f>
        <v>48673601.495233156</v>
      </c>
    </row>
    <row r="7" spans="1:14" ht="15" customHeight="1" x14ac:dyDescent="0.2">
      <c r="A7" s="226">
        <v>1.1000000000000001</v>
      </c>
      <c r="B7" s="231" t="s">
        <v>240</v>
      </c>
      <c r="C7" s="232">
        <v>112969832.30927244</v>
      </c>
      <c r="D7" s="232">
        <v>106221900.62103853</v>
      </c>
      <c r="E7" s="233">
        <v>75682512.27550739</v>
      </c>
      <c r="F7" s="232">
        <v>60964339.293507352</v>
      </c>
      <c r="G7" s="234">
        <v>47707923.095233157</v>
      </c>
    </row>
    <row r="8" spans="1:14" ht="27" x14ac:dyDescent="0.2">
      <c r="A8" s="226" t="s">
        <v>241</v>
      </c>
      <c r="B8" s="235" t="s">
        <v>242</v>
      </c>
      <c r="C8" s="232"/>
      <c r="D8" s="232"/>
      <c r="E8" s="233"/>
      <c r="F8" s="232"/>
      <c r="G8" s="234"/>
    </row>
    <row r="9" spans="1:14" ht="15" customHeight="1" x14ac:dyDescent="0.2">
      <c r="A9" s="226">
        <v>1.2</v>
      </c>
      <c r="B9" s="231" t="s">
        <v>243</v>
      </c>
      <c r="C9" s="232">
        <v>3637469.4716671063</v>
      </c>
      <c r="D9" s="232">
        <v>4279663.7597029284</v>
      </c>
      <c r="E9" s="233">
        <v>3817303.0181220695</v>
      </c>
      <c r="F9" s="232">
        <v>759877</v>
      </c>
      <c r="G9" s="234">
        <v>755104</v>
      </c>
      <c r="N9" s="236"/>
    </row>
    <row r="10" spans="1:14" ht="15" customHeight="1" x14ac:dyDescent="0.2">
      <c r="A10" s="226">
        <v>1.3</v>
      </c>
      <c r="B10" s="237" t="s">
        <v>28</v>
      </c>
      <c r="C10" s="232">
        <v>349736</v>
      </c>
      <c r="D10" s="232">
        <v>262958</v>
      </c>
      <c r="E10" s="233">
        <v>133408</v>
      </c>
      <c r="F10" s="232">
        <v>214635</v>
      </c>
      <c r="G10" s="234">
        <v>210574.4</v>
      </c>
    </row>
    <row r="11" spans="1:14" ht="15" customHeight="1" x14ac:dyDescent="0.2">
      <c r="A11" s="226">
        <v>2</v>
      </c>
      <c r="B11" s="227" t="s">
        <v>244</v>
      </c>
      <c r="C11" s="232">
        <v>618164.27297467901</v>
      </c>
      <c r="D11" s="232">
        <v>749272.26096899912</v>
      </c>
      <c r="E11" s="233">
        <v>297313.52988999954</v>
      </c>
      <c r="F11" s="232">
        <v>229858.94887295188</v>
      </c>
      <c r="G11" s="234">
        <v>176313.25844009916</v>
      </c>
      <c r="N11" s="236"/>
    </row>
    <row r="12" spans="1:14" ht="15" customHeight="1" x14ac:dyDescent="0.2">
      <c r="A12" s="226">
        <v>3</v>
      </c>
      <c r="B12" s="227" t="s">
        <v>245</v>
      </c>
      <c r="C12" s="232">
        <v>9168301.2517249286</v>
      </c>
      <c r="D12" s="232">
        <v>9168301.2517249286</v>
      </c>
      <c r="E12" s="233">
        <v>8764146.5926030725</v>
      </c>
      <c r="F12" s="232">
        <v>8764146.5926030725</v>
      </c>
      <c r="G12" s="234">
        <v>8764146.5926030725</v>
      </c>
    </row>
    <row r="13" spans="1:14" ht="15" customHeight="1" thickBot="1" x14ac:dyDescent="0.25">
      <c r="A13" s="238">
        <v>4</v>
      </c>
      <c r="B13" s="239" t="s">
        <v>246</v>
      </c>
      <c r="C13" s="240">
        <f>C6+C11+C12</f>
        <v>126743503.30563916</v>
      </c>
      <c r="D13" s="240">
        <f>D6+D11+D12</f>
        <v>120682095.89343537</v>
      </c>
      <c r="E13" s="240">
        <f>E6+E11+E12</f>
        <v>88694683.416122541</v>
      </c>
      <c r="F13" s="240">
        <f>F6+F11+F12</f>
        <v>70932856.834983379</v>
      </c>
      <c r="G13" s="241">
        <f>G6+G11+G12</f>
        <v>57614061.346276328</v>
      </c>
    </row>
    <row r="14" spans="1:14" x14ac:dyDescent="0.25">
      <c r="B14" s="128"/>
    </row>
    <row r="15" spans="1:14" ht="27" x14ac:dyDescent="0.25">
      <c r="B15" s="128" t="s">
        <v>247</v>
      </c>
    </row>
    <row r="16" spans="1:14" x14ac:dyDescent="0.25">
      <c r="B16" s="128"/>
    </row>
    <row r="17" spans="2:4" x14ac:dyDescent="0.25">
      <c r="B17" s="128"/>
    </row>
    <row r="18" spans="2:4" x14ac:dyDescent="0.25">
      <c r="B18" s="128"/>
      <c r="D18" s="242"/>
    </row>
    <row r="22" spans="2:4" x14ac:dyDescent="0.25">
      <c r="B22" s="24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E0E2-F260-46C8-A723-8EC78299ED63}">
  <dimension ref="A1:C36"/>
  <sheetViews>
    <sheetView showGridLines="0" zoomScale="90" zoomScaleNormal="90" workbookViewId="0">
      <pane xSplit="1" ySplit="4" topLeftCell="B7" activePane="bottomRight" state="frozen"/>
      <selection activeCell="C23" sqref="C23"/>
      <selection pane="topRight" activeCell="C23" sqref="C23"/>
      <selection pane="bottomLeft" activeCell="C23" sqref="C23"/>
      <selection pane="bottomRight" activeCell="D46" sqref="D46"/>
    </sheetView>
  </sheetViews>
  <sheetFormatPr defaultRowHeight="15" x14ac:dyDescent="0.25"/>
  <cols>
    <col min="1" max="1" width="9.5703125" style="22" bestFit="1" customWidth="1"/>
    <col min="2" max="2" width="53.7109375" style="22" customWidth="1"/>
    <col min="3" max="3" width="36.140625" style="22" customWidth="1"/>
  </cols>
  <sheetData>
    <row r="1" spans="1:3" x14ac:dyDescent="0.25">
      <c r="A1" s="22" t="s">
        <v>41</v>
      </c>
      <c r="B1" s="22" t="str">
        <f>Info!C2</f>
        <v>სს სილქ ბანკი</v>
      </c>
    </row>
    <row r="2" spans="1:3" x14ac:dyDescent="0.25">
      <c r="A2" s="22" t="s">
        <v>42</v>
      </c>
      <c r="B2" s="26">
        <f>'1. key ratios'!B2</f>
        <v>45382</v>
      </c>
    </row>
    <row r="4" spans="1:3" ht="40.5" customHeight="1" thickBot="1" x14ac:dyDescent="0.35">
      <c r="A4" s="244" t="s">
        <v>248</v>
      </c>
      <c r="B4" s="245" t="s">
        <v>17</v>
      </c>
      <c r="C4" s="245"/>
    </row>
    <row r="5" spans="1:3" ht="15.75" x14ac:dyDescent="0.3">
      <c r="A5" s="246"/>
      <c r="B5" s="247" t="s">
        <v>249</v>
      </c>
      <c r="C5" s="248" t="s">
        <v>250</v>
      </c>
    </row>
    <row r="6" spans="1:3" x14ac:dyDescent="0.25">
      <c r="A6" s="249">
        <v>1</v>
      </c>
      <c r="B6" s="250" t="s">
        <v>251</v>
      </c>
      <c r="C6" s="251" t="s">
        <v>252</v>
      </c>
    </row>
    <row r="7" spans="1:3" x14ac:dyDescent="0.25">
      <c r="A7" s="249">
        <v>2</v>
      </c>
      <c r="B7" s="250" t="s">
        <v>253</v>
      </c>
      <c r="C7" s="251" t="s">
        <v>254</v>
      </c>
    </row>
    <row r="8" spans="1:3" x14ac:dyDescent="0.25">
      <c r="A8" s="249">
        <v>3</v>
      </c>
      <c r="B8" s="250" t="s">
        <v>255</v>
      </c>
      <c r="C8" s="251" t="s">
        <v>254</v>
      </c>
    </row>
    <row r="9" spans="1:3" x14ac:dyDescent="0.25">
      <c r="A9" s="249">
        <v>4</v>
      </c>
      <c r="B9" s="250" t="s">
        <v>256</v>
      </c>
      <c r="C9" s="251" t="s">
        <v>254</v>
      </c>
    </row>
    <row r="10" spans="1:3" x14ac:dyDescent="0.25">
      <c r="A10" s="249">
        <v>5</v>
      </c>
      <c r="B10" s="250" t="s">
        <v>257</v>
      </c>
      <c r="C10" s="251" t="s">
        <v>258</v>
      </c>
    </row>
    <row r="11" spans="1:3" x14ac:dyDescent="0.25">
      <c r="A11" s="249">
        <v>6</v>
      </c>
      <c r="B11" s="250" t="s">
        <v>259</v>
      </c>
      <c r="C11" s="251" t="s">
        <v>258</v>
      </c>
    </row>
    <row r="12" spans="1:3" x14ac:dyDescent="0.25">
      <c r="A12" s="249"/>
      <c r="B12" s="252"/>
      <c r="C12" s="253"/>
    </row>
    <row r="13" spans="1:3" ht="45" x14ac:dyDescent="0.25">
      <c r="A13" s="249"/>
      <c r="B13" s="254" t="s">
        <v>260</v>
      </c>
      <c r="C13" s="255" t="s">
        <v>261</v>
      </c>
    </row>
    <row r="14" spans="1:3" ht="15.75" x14ac:dyDescent="0.3">
      <c r="A14" s="249">
        <v>1</v>
      </c>
      <c r="B14" s="256" t="s">
        <v>262</v>
      </c>
      <c r="C14" s="257" t="s">
        <v>263</v>
      </c>
    </row>
    <row r="15" spans="1:3" ht="15.75" x14ac:dyDescent="0.3">
      <c r="A15" s="249">
        <v>2</v>
      </c>
      <c r="B15" s="258" t="s">
        <v>264</v>
      </c>
      <c r="C15" s="257" t="s">
        <v>265</v>
      </c>
    </row>
    <row r="16" spans="1:3" ht="15.75" x14ac:dyDescent="0.3">
      <c r="A16" s="249">
        <v>3</v>
      </c>
      <c r="B16" s="258" t="s">
        <v>266</v>
      </c>
      <c r="C16" s="257" t="s">
        <v>267</v>
      </c>
    </row>
    <row r="17" spans="1:3" ht="30" x14ac:dyDescent="0.3">
      <c r="A17" s="249">
        <v>4</v>
      </c>
      <c r="B17" s="256" t="s">
        <v>268</v>
      </c>
      <c r="C17" s="257" t="s">
        <v>269</v>
      </c>
    </row>
    <row r="18" spans="1:3" ht="15.75" x14ac:dyDescent="0.3">
      <c r="A18" s="249">
        <v>5</v>
      </c>
      <c r="B18" s="256" t="s">
        <v>270</v>
      </c>
      <c r="C18" s="257" t="s">
        <v>271</v>
      </c>
    </row>
    <row r="19" spans="1:3" ht="15.75" x14ac:dyDescent="0.3">
      <c r="A19" s="249">
        <v>6</v>
      </c>
      <c r="B19" s="256" t="s">
        <v>272</v>
      </c>
      <c r="C19" s="257" t="s">
        <v>273</v>
      </c>
    </row>
    <row r="20" spans="1:3" ht="30" x14ac:dyDescent="0.3">
      <c r="A20" s="249">
        <v>7</v>
      </c>
      <c r="B20" s="256" t="s">
        <v>274</v>
      </c>
      <c r="C20" s="257" t="s">
        <v>275</v>
      </c>
    </row>
    <row r="21" spans="1:3" ht="15.75" x14ac:dyDescent="0.3">
      <c r="A21" s="249"/>
      <c r="B21" s="256"/>
      <c r="C21" s="257"/>
    </row>
    <row r="22" spans="1:3" ht="15.75" x14ac:dyDescent="0.3">
      <c r="A22" s="249"/>
      <c r="B22" s="256"/>
      <c r="C22" s="259"/>
    </row>
    <row r="23" spans="1:3" ht="26.45" customHeight="1" x14ac:dyDescent="0.25">
      <c r="A23" s="249"/>
      <c r="B23" s="260" t="s">
        <v>276</v>
      </c>
      <c r="C23" s="261"/>
    </row>
    <row r="24" spans="1:3" ht="30" customHeight="1" x14ac:dyDescent="0.25">
      <c r="A24" s="249">
        <v>1</v>
      </c>
      <c r="B24" s="250" t="s">
        <v>277</v>
      </c>
      <c r="C24" s="263">
        <v>0.58832464561820241</v>
      </c>
    </row>
    <row r="25" spans="1:3" ht="15" customHeight="1" x14ac:dyDescent="0.25">
      <c r="A25" s="249">
        <v>2</v>
      </c>
      <c r="B25" s="250" t="s">
        <v>278</v>
      </c>
      <c r="C25" s="263">
        <v>0.36415547710952018</v>
      </c>
    </row>
    <row r="26" spans="1:3" x14ac:dyDescent="0.25">
      <c r="A26" s="249">
        <v>3</v>
      </c>
      <c r="B26" s="250" t="s">
        <v>279</v>
      </c>
      <c r="C26" s="263">
        <v>4.7469015648884345E-2</v>
      </c>
    </row>
    <row r="27" spans="1:3" x14ac:dyDescent="0.25">
      <c r="A27" s="249"/>
      <c r="B27" s="250"/>
      <c r="C27" s="264"/>
    </row>
    <row r="28" spans="1:3" ht="32.450000000000003" customHeight="1" x14ac:dyDescent="0.25">
      <c r="A28" s="249"/>
      <c r="B28" s="260" t="s">
        <v>280</v>
      </c>
      <c r="C28" s="261"/>
    </row>
    <row r="29" spans="1:3" ht="29.25" customHeight="1" x14ac:dyDescent="0.25">
      <c r="A29" s="249">
        <v>1</v>
      </c>
      <c r="B29" s="250" t="s">
        <v>277</v>
      </c>
      <c r="C29" s="266">
        <v>0.58832464561820241</v>
      </c>
    </row>
    <row r="30" spans="1:3" ht="15" customHeight="1" x14ac:dyDescent="0.25">
      <c r="A30" s="267">
        <v>1.1000000000000001</v>
      </c>
      <c r="B30" s="268" t="s">
        <v>281</v>
      </c>
      <c r="C30" s="269">
        <v>0.36417295563766733</v>
      </c>
    </row>
    <row r="31" spans="1:3" x14ac:dyDescent="0.25">
      <c r="A31" s="267">
        <v>1.2</v>
      </c>
      <c r="B31" s="268" t="s">
        <v>282</v>
      </c>
      <c r="C31" s="269">
        <v>0.16814318371768222</v>
      </c>
    </row>
    <row r="32" spans="1:3" x14ac:dyDescent="0.25">
      <c r="A32" s="267">
        <v>1.3</v>
      </c>
      <c r="B32" s="268" t="s">
        <v>283</v>
      </c>
      <c r="C32" s="269">
        <v>5.6008506262852878E-2</v>
      </c>
    </row>
    <row r="33" spans="1:3" x14ac:dyDescent="0.25">
      <c r="A33" s="267">
        <v>2</v>
      </c>
      <c r="B33" s="268" t="s">
        <v>278</v>
      </c>
      <c r="C33" s="269">
        <v>0.36415547710952018</v>
      </c>
    </row>
    <row r="34" spans="1:3" ht="27" x14ac:dyDescent="0.25">
      <c r="A34" s="267">
        <v>2.1</v>
      </c>
      <c r="B34" s="268" t="s">
        <v>284</v>
      </c>
      <c r="C34" s="270">
        <v>0.36415547710952018</v>
      </c>
    </row>
    <row r="35" spans="1:3" x14ac:dyDescent="0.25">
      <c r="A35" s="271" t="s">
        <v>285</v>
      </c>
      <c r="B35" s="268" t="s">
        <v>286</v>
      </c>
      <c r="C35" s="269">
        <v>0.36415547710952018</v>
      </c>
    </row>
    <row r="36" spans="1:3" ht="16.5" thickBot="1" x14ac:dyDescent="0.35">
      <c r="A36" s="272"/>
      <c r="B36" s="273"/>
      <c r="C36" s="274"/>
    </row>
  </sheetData>
  <mergeCells count="4">
    <mergeCell ref="B4:C4"/>
    <mergeCell ref="B12:C12"/>
    <mergeCell ref="B23:C23"/>
    <mergeCell ref="B28:C28"/>
  </mergeCells>
  <dataValidations count="1">
    <dataValidation type="list" allowBlank="1" showInputMessage="1" showErrorMessage="1" sqref="C6:C11" xr:uid="{82B9E1E2-4580-45B4-B428-FCDED24FD989}">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E113-DA73-420B-9094-157C59B1848A}">
  <dimension ref="A1:G53"/>
  <sheetViews>
    <sheetView zoomScaleNormal="130" workbookViewId="0">
      <pane xSplit="1" ySplit="5" topLeftCell="B22" activePane="bottomRight" state="frozen"/>
      <selection activeCell="D46" sqref="D46"/>
      <selection pane="topRight" activeCell="D46" sqref="D46"/>
      <selection pane="bottomLeft" activeCell="D46" sqref="D46"/>
      <selection pane="bottomRight" activeCell="C8" sqref="C8:E37"/>
    </sheetView>
  </sheetViews>
  <sheetFormatPr defaultRowHeight="15" x14ac:dyDescent="0.25"/>
  <cols>
    <col min="1" max="1" width="9.5703125" style="22" bestFit="1" customWidth="1"/>
    <col min="2" max="2" width="47.5703125" style="22" customWidth="1"/>
    <col min="3" max="3" width="28" style="22" customWidth="1"/>
    <col min="4" max="4" width="25.5703125" style="22" customWidth="1"/>
    <col min="5" max="5" width="18.85546875" style="22" customWidth="1"/>
    <col min="6" max="6" width="12" style="275" bestFit="1" customWidth="1"/>
    <col min="7" max="7" width="62.140625" customWidth="1"/>
  </cols>
  <sheetData>
    <row r="1" spans="1:6" ht="15.75" x14ac:dyDescent="0.3">
      <c r="A1" s="23" t="s">
        <v>41</v>
      </c>
      <c r="B1" s="25" t="str">
        <f>Info!C2</f>
        <v>სს სილქ ბანკი</v>
      </c>
    </row>
    <row r="2" spans="1:6" s="23" customFormat="1" ht="15.75" customHeight="1" x14ac:dyDescent="0.3">
      <c r="A2" s="23" t="s">
        <v>42</v>
      </c>
      <c r="B2" s="26">
        <f>'1. key ratios'!B2</f>
        <v>45382</v>
      </c>
      <c r="F2" s="276"/>
    </row>
    <row r="3" spans="1:6" s="23" customFormat="1" ht="15.75" customHeight="1" x14ac:dyDescent="0.3">
      <c r="F3" s="276"/>
    </row>
    <row r="4" spans="1:6" s="23" customFormat="1" ht="40.5" customHeight="1" thickBot="1" x14ac:dyDescent="0.35">
      <c r="A4" s="277" t="s">
        <v>287</v>
      </c>
      <c r="B4" s="278" t="s">
        <v>18</v>
      </c>
      <c r="C4" s="279"/>
      <c r="D4" s="279"/>
      <c r="E4" s="280" t="s">
        <v>238</v>
      </c>
      <c r="F4" s="276"/>
    </row>
    <row r="5" spans="1:6" s="286" customFormat="1" ht="17.45" customHeight="1" x14ac:dyDescent="0.25">
      <c r="A5" s="281"/>
      <c r="B5" s="282"/>
      <c r="C5" s="283" t="s">
        <v>288</v>
      </c>
      <c r="D5" s="283" t="s">
        <v>289</v>
      </c>
      <c r="E5" s="284" t="s">
        <v>290</v>
      </c>
      <c r="F5" s="285"/>
    </row>
    <row r="6" spans="1:6" ht="14.45" customHeight="1" x14ac:dyDescent="0.25">
      <c r="A6" s="287"/>
      <c r="B6" s="288" t="s">
        <v>291</v>
      </c>
      <c r="C6" s="288" t="s">
        <v>292</v>
      </c>
      <c r="D6" s="289" t="s">
        <v>293</v>
      </c>
      <c r="E6" s="290"/>
    </row>
    <row r="7" spans="1:6" ht="99.6" customHeight="1" x14ac:dyDescent="0.25">
      <c r="A7" s="287"/>
      <c r="B7" s="288"/>
      <c r="C7" s="288"/>
      <c r="D7" s="291" t="s">
        <v>294</v>
      </c>
      <c r="E7" s="292" t="s">
        <v>295</v>
      </c>
    </row>
    <row r="8" spans="1:6" ht="22.5" customHeight="1" x14ac:dyDescent="0.25">
      <c r="A8" s="182">
        <v>1</v>
      </c>
      <c r="B8" s="144" t="s">
        <v>98</v>
      </c>
      <c r="C8" s="293">
        <f>SUM(C9:C11)</f>
        <v>56873900.570488527</v>
      </c>
      <c r="D8" s="293">
        <f>SUM(D9:D11)</f>
        <v>0</v>
      </c>
      <c r="E8" s="293">
        <f>SUM(E9:E11)</f>
        <v>56873900.570488527</v>
      </c>
      <c r="F8" s="294"/>
    </row>
    <row r="9" spans="1:6" x14ac:dyDescent="0.25">
      <c r="A9" s="182">
        <v>1.1000000000000001</v>
      </c>
      <c r="B9" s="147" t="s">
        <v>99</v>
      </c>
      <c r="C9" s="293">
        <f>'2. SOFP'!E8</f>
        <v>3465527.6399999983</v>
      </c>
      <c r="D9" s="293"/>
      <c r="E9" s="293">
        <f>C9-D9</f>
        <v>3465527.6399999983</v>
      </c>
    </row>
    <row r="10" spans="1:6" x14ac:dyDescent="0.25">
      <c r="A10" s="182">
        <v>1.2</v>
      </c>
      <c r="B10" s="147" t="s">
        <v>100</v>
      </c>
      <c r="C10" s="293">
        <f>'2. SOFP'!E9</f>
        <v>3498499.9600000288</v>
      </c>
      <c r="D10" s="293"/>
      <c r="E10" s="293">
        <f t="shared" ref="E10:E15" si="0">C10-D10</f>
        <v>3498499.9600000288</v>
      </c>
    </row>
    <row r="11" spans="1:6" x14ac:dyDescent="0.25">
      <c r="A11" s="182">
        <v>1.3</v>
      </c>
      <c r="B11" s="147" t="s">
        <v>101</v>
      </c>
      <c r="C11" s="293">
        <f>'2. SOFP'!E10</f>
        <v>49909872.970488496</v>
      </c>
      <c r="D11" s="293"/>
      <c r="E11" s="293">
        <f t="shared" si="0"/>
        <v>49909872.970488496</v>
      </c>
    </row>
    <row r="12" spans="1:6" x14ac:dyDescent="0.25">
      <c r="A12" s="182">
        <v>2</v>
      </c>
      <c r="B12" s="149" t="s">
        <v>102</v>
      </c>
      <c r="C12" s="293">
        <f>'2. SOFP'!E11</f>
        <v>270098.68790341541</v>
      </c>
      <c r="D12" s="293"/>
      <c r="E12" s="293">
        <f t="shared" si="0"/>
        <v>270098.68790341541</v>
      </c>
      <c r="F12" s="294"/>
    </row>
    <row r="13" spans="1:6" ht="21" x14ac:dyDescent="0.25">
      <c r="A13" s="182">
        <v>2.1</v>
      </c>
      <c r="B13" s="150" t="s">
        <v>103</v>
      </c>
      <c r="C13" s="293">
        <f>'2. SOFP'!E12</f>
        <v>270098.68790341541</v>
      </c>
      <c r="D13" s="293"/>
      <c r="E13" s="293">
        <f t="shared" si="0"/>
        <v>270098.68790341541</v>
      </c>
    </row>
    <row r="14" spans="1:6" ht="33.950000000000003" customHeight="1" x14ac:dyDescent="0.25">
      <c r="A14" s="182">
        <v>3</v>
      </c>
      <c r="B14" s="151" t="s">
        <v>104</v>
      </c>
      <c r="C14" s="293">
        <f>'2. SOFP'!E13</f>
        <v>0</v>
      </c>
      <c r="D14" s="293"/>
      <c r="E14" s="293">
        <f t="shared" si="0"/>
        <v>0</v>
      </c>
    </row>
    <row r="15" spans="1:6" ht="32.450000000000003" customHeight="1" x14ac:dyDescent="0.25">
      <c r="A15" s="182">
        <v>4</v>
      </c>
      <c r="B15" s="152" t="s">
        <v>105</v>
      </c>
      <c r="C15" s="293">
        <f>'2. SOFP'!E14</f>
        <v>0</v>
      </c>
      <c r="D15" s="293"/>
      <c r="E15" s="293">
        <f t="shared" si="0"/>
        <v>0</v>
      </c>
    </row>
    <row r="16" spans="1:6" ht="23.1" customHeight="1" x14ac:dyDescent="0.25">
      <c r="A16" s="182">
        <v>5</v>
      </c>
      <c r="B16" s="152" t="s">
        <v>106</v>
      </c>
      <c r="C16" s="293">
        <f>SUM(C17:C19)</f>
        <v>20000</v>
      </c>
      <c r="D16" s="293">
        <f>SUM(D17:D19)</f>
        <v>0</v>
      </c>
      <c r="E16" s="293">
        <f>SUM(E17:E19)</f>
        <v>20000</v>
      </c>
      <c r="F16" s="294"/>
    </row>
    <row r="17" spans="1:6" x14ac:dyDescent="0.25">
      <c r="A17" s="182">
        <v>5.0999999999999996</v>
      </c>
      <c r="B17" s="155" t="s">
        <v>107</v>
      </c>
      <c r="C17" s="293">
        <f>'2. SOFP'!E16</f>
        <v>20000</v>
      </c>
      <c r="D17" s="293"/>
      <c r="E17" s="293">
        <f>C17-D17</f>
        <v>20000</v>
      </c>
    </row>
    <row r="18" spans="1:6" x14ac:dyDescent="0.25">
      <c r="A18" s="182">
        <v>5.2</v>
      </c>
      <c r="B18" s="155" t="s">
        <v>108</v>
      </c>
      <c r="C18" s="293">
        <f>'2. SOFP'!E17</f>
        <v>0</v>
      </c>
      <c r="D18" s="293"/>
      <c r="E18" s="293">
        <f>C18-D18</f>
        <v>0</v>
      </c>
    </row>
    <row r="19" spans="1:6" x14ac:dyDescent="0.25">
      <c r="A19" s="182">
        <v>5.3</v>
      </c>
      <c r="B19" s="155" t="s">
        <v>109</v>
      </c>
      <c r="C19" s="293">
        <f>'2. SOFP'!E18</f>
        <v>0</v>
      </c>
      <c r="D19" s="293"/>
      <c r="E19" s="293">
        <f>C19-D19</f>
        <v>0</v>
      </c>
    </row>
    <row r="20" spans="1:6" ht="21" x14ac:dyDescent="0.25">
      <c r="A20" s="182">
        <v>6</v>
      </c>
      <c r="B20" s="151" t="s">
        <v>110</v>
      </c>
      <c r="C20" s="293">
        <f>SUM(C21:C22)</f>
        <v>96299605.073607609</v>
      </c>
      <c r="D20" s="293">
        <f>SUM(D21:D22)</f>
        <v>0</v>
      </c>
      <c r="E20" s="293">
        <f>SUM(E21:E22)</f>
        <v>96299605.073607609</v>
      </c>
      <c r="F20" s="294"/>
    </row>
    <row r="21" spans="1:6" x14ac:dyDescent="0.25">
      <c r="A21" s="182">
        <v>6.1</v>
      </c>
      <c r="B21" s="155" t="s">
        <v>108</v>
      </c>
      <c r="C21" s="295">
        <f>'2. SOFP'!E20</f>
        <v>26576690.288565051</v>
      </c>
      <c r="D21" s="295"/>
      <c r="E21" s="295">
        <f>C21-D21</f>
        <v>26576690.288565051</v>
      </c>
    </row>
    <row r="22" spans="1:6" x14ac:dyDescent="0.25">
      <c r="A22" s="182">
        <v>6.2</v>
      </c>
      <c r="B22" s="296" t="s">
        <v>109</v>
      </c>
      <c r="C22" s="295">
        <f>'2. SOFP'!E21</f>
        <v>69722914.785042554</v>
      </c>
      <c r="D22" s="295"/>
      <c r="E22" s="295">
        <f>C22-D22</f>
        <v>69722914.785042554</v>
      </c>
    </row>
    <row r="23" spans="1:6" ht="21" x14ac:dyDescent="0.25">
      <c r="A23" s="182">
        <v>7</v>
      </c>
      <c r="B23" s="166" t="s">
        <v>111</v>
      </c>
      <c r="C23" s="295">
        <f>'2. SOFP'!E22</f>
        <v>0</v>
      </c>
      <c r="D23" s="295"/>
      <c r="E23" s="295">
        <f>C23-D23</f>
        <v>0</v>
      </c>
    </row>
    <row r="24" spans="1:6" ht="21" x14ac:dyDescent="0.25">
      <c r="A24" s="182">
        <v>8</v>
      </c>
      <c r="B24" s="157" t="s">
        <v>112</v>
      </c>
      <c r="C24" s="295">
        <f>'2. SOFP'!E23</f>
        <v>3415583.8600753136</v>
      </c>
      <c r="D24" s="295"/>
      <c r="E24" s="295">
        <f>C24-D24</f>
        <v>3415583.8600753136</v>
      </c>
      <c r="F24" s="294"/>
    </row>
    <row r="25" spans="1:6" x14ac:dyDescent="0.25">
      <c r="A25" s="182">
        <v>9</v>
      </c>
      <c r="B25" s="152" t="s">
        <v>113</v>
      </c>
      <c r="C25" s="295">
        <f>SUM(C26:C27)</f>
        <v>17187770.360000003</v>
      </c>
      <c r="D25" s="295">
        <f>SUM(D26:D27)</f>
        <v>0</v>
      </c>
      <c r="E25" s="295">
        <f>SUM(E26:E27)</f>
        <v>17187770.360000003</v>
      </c>
      <c r="F25" s="294"/>
    </row>
    <row r="26" spans="1:6" x14ac:dyDescent="0.25">
      <c r="A26" s="182">
        <v>9.1</v>
      </c>
      <c r="B26" s="158" t="s">
        <v>114</v>
      </c>
      <c r="C26" s="295">
        <f>'2. SOFP'!E25</f>
        <v>17187770.360000003</v>
      </c>
      <c r="D26" s="295"/>
      <c r="E26" s="295">
        <f>C26-D26</f>
        <v>17187770.360000003</v>
      </c>
    </row>
    <row r="27" spans="1:6" x14ac:dyDescent="0.25">
      <c r="A27" s="182">
        <v>9.1999999999999993</v>
      </c>
      <c r="B27" s="158" t="s">
        <v>115</v>
      </c>
      <c r="C27" s="295">
        <f>'2. SOFP'!E26</f>
        <v>0</v>
      </c>
      <c r="D27" s="295"/>
      <c r="E27" s="295">
        <f>C27-D27</f>
        <v>0</v>
      </c>
    </row>
    <row r="28" spans="1:6" x14ac:dyDescent="0.25">
      <c r="A28" s="182">
        <v>10</v>
      </c>
      <c r="B28" s="152" t="s">
        <v>116</v>
      </c>
      <c r="C28" s="295">
        <f>SUM(C29:C30)</f>
        <v>1230937.5900000008</v>
      </c>
      <c r="D28" s="295">
        <f>SUM(D29:D30)</f>
        <v>1230937.5900000008</v>
      </c>
      <c r="E28" s="295">
        <f>SUM(E29:E30)</f>
        <v>0</v>
      </c>
      <c r="F28" s="294"/>
    </row>
    <row r="29" spans="1:6" x14ac:dyDescent="0.25">
      <c r="A29" s="182">
        <v>10.1</v>
      </c>
      <c r="B29" s="158" t="s">
        <v>117</v>
      </c>
      <c r="C29" s="295">
        <f>'2. SOFP'!E28</f>
        <v>0</v>
      </c>
      <c r="D29" s="295"/>
      <c r="E29" s="295">
        <f>C29-D29</f>
        <v>0</v>
      </c>
    </row>
    <row r="30" spans="1:6" x14ac:dyDescent="0.25">
      <c r="A30" s="182">
        <v>10.199999999999999</v>
      </c>
      <c r="B30" s="158" t="s">
        <v>118</v>
      </c>
      <c r="C30" s="295">
        <f>'2. SOFP'!E29</f>
        <v>1230937.5900000008</v>
      </c>
      <c r="D30" s="295">
        <f>C30</f>
        <v>1230937.5900000008</v>
      </c>
      <c r="E30" s="295">
        <f>C30-D30</f>
        <v>0</v>
      </c>
    </row>
    <row r="31" spans="1:6" x14ac:dyDescent="0.25">
      <c r="A31" s="182">
        <v>11</v>
      </c>
      <c r="B31" s="152" t="s">
        <v>119</v>
      </c>
      <c r="C31" s="295">
        <f>SUM(C32:C33)</f>
        <v>45248.5</v>
      </c>
      <c r="D31" s="295">
        <f>SUM(D32:D33)</f>
        <v>0</v>
      </c>
      <c r="E31" s="295">
        <f>SUM(E32:E33)</f>
        <v>45248.5</v>
      </c>
      <c r="F31" s="294"/>
    </row>
    <row r="32" spans="1:6" x14ac:dyDescent="0.25">
      <c r="A32" s="182">
        <v>11.1</v>
      </c>
      <c r="B32" s="158" t="s">
        <v>120</v>
      </c>
      <c r="C32" s="295">
        <f>'2. SOFP'!E31</f>
        <v>45248.5</v>
      </c>
      <c r="D32" s="295"/>
      <c r="E32" s="295">
        <f>C32-D32</f>
        <v>45248.5</v>
      </c>
    </row>
    <row r="33" spans="1:7" x14ac:dyDescent="0.25">
      <c r="A33" s="182">
        <v>11.2</v>
      </c>
      <c r="B33" s="158" t="s">
        <v>121</v>
      </c>
      <c r="C33" s="295">
        <f>'2. SOFP'!E32</f>
        <v>0</v>
      </c>
      <c r="D33" s="295"/>
      <c r="E33" s="295">
        <f>C33-D33</f>
        <v>0</v>
      </c>
    </row>
    <row r="34" spans="1:7" x14ac:dyDescent="0.25">
      <c r="A34" s="182">
        <v>13</v>
      </c>
      <c r="B34" s="152" t="s">
        <v>122</v>
      </c>
      <c r="C34" s="295">
        <f>'2. SOFP'!E33</f>
        <v>5139954.82</v>
      </c>
      <c r="D34" s="295"/>
      <c r="E34" s="295">
        <f>C34-D34</f>
        <v>5139954.82</v>
      </c>
      <c r="F34" s="294"/>
    </row>
    <row r="35" spans="1:7" x14ac:dyDescent="0.25">
      <c r="A35" s="182">
        <v>13.1</v>
      </c>
      <c r="B35" s="159" t="s">
        <v>123</v>
      </c>
      <c r="C35" s="295">
        <f>'2. SOFP'!E34</f>
        <v>0</v>
      </c>
      <c r="D35" s="295"/>
      <c r="E35" s="295">
        <f>C35-D35</f>
        <v>0</v>
      </c>
    </row>
    <row r="36" spans="1:7" x14ac:dyDescent="0.25">
      <c r="A36" s="182">
        <v>13.2</v>
      </c>
      <c r="B36" s="159" t="s">
        <v>124</v>
      </c>
      <c r="C36" s="295">
        <f>'2. SOFP'!E35</f>
        <v>0</v>
      </c>
      <c r="D36" s="295"/>
      <c r="E36" s="295">
        <f>C36-D36</f>
        <v>0</v>
      </c>
    </row>
    <row r="37" spans="1:7" ht="54.75" thickBot="1" x14ac:dyDescent="0.3">
      <c r="A37" s="297"/>
      <c r="B37" s="298" t="s">
        <v>296</v>
      </c>
      <c r="C37" s="299">
        <f>SUM(C8,C12,C14,C15,C16,C20,C23,C24,C25,C28,C31,C34)</f>
        <v>180483099.46207488</v>
      </c>
      <c r="D37" s="299">
        <f>SUM(D8,D12,D14,D15,D16,D20,D23,D24,D25,D28,D31,D34)</f>
        <v>1230937.5900000008</v>
      </c>
      <c r="E37" s="299">
        <f>SUM(E8,E12,E14,E15,E16,E20,E23,E24,E25,E28,E31,E34)</f>
        <v>179252161.87207487</v>
      </c>
    </row>
    <row r="38" spans="1:7" x14ac:dyDescent="0.25">
      <c r="A38"/>
      <c r="B38"/>
      <c r="C38"/>
      <c r="D38"/>
      <c r="E38"/>
    </row>
    <row r="39" spans="1:7" s="275" customFormat="1" x14ac:dyDescent="0.25">
      <c r="C39" s="848"/>
      <c r="D39" s="848"/>
      <c r="E39" s="848"/>
    </row>
    <row r="40" spans="1:7" x14ac:dyDescent="0.25">
      <c r="C40" s="851"/>
      <c r="D40" s="851"/>
      <c r="E40" s="852"/>
    </row>
    <row r="41" spans="1:7" s="22" customFormat="1" x14ac:dyDescent="0.25">
      <c r="B41" s="300"/>
      <c r="C41" s="851"/>
      <c r="D41" s="851"/>
      <c r="E41" s="851"/>
      <c r="F41" s="275"/>
      <c r="G41"/>
    </row>
    <row r="42" spans="1:7" s="22" customFormat="1" x14ac:dyDescent="0.25">
      <c r="B42" s="301"/>
      <c r="F42" s="275"/>
      <c r="G42"/>
    </row>
    <row r="43" spans="1:7" s="22" customFormat="1" x14ac:dyDescent="0.25">
      <c r="B43" s="300"/>
      <c r="F43" s="275"/>
      <c r="G43"/>
    </row>
    <row r="44" spans="1:7" s="22" customFormat="1" x14ac:dyDescent="0.25">
      <c r="B44" s="300"/>
      <c r="F44" s="275"/>
      <c r="G44"/>
    </row>
    <row r="45" spans="1:7" s="22" customFormat="1" x14ac:dyDescent="0.25">
      <c r="B45" s="300"/>
      <c r="F45" s="275"/>
      <c r="G45"/>
    </row>
    <row r="46" spans="1:7" s="22" customFormat="1" x14ac:dyDescent="0.25">
      <c r="B46" s="300"/>
      <c r="F46" s="275"/>
      <c r="G46"/>
    </row>
    <row r="47" spans="1:7" s="22" customFormat="1" x14ac:dyDescent="0.25">
      <c r="B47" s="300"/>
      <c r="F47" s="275"/>
      <c r="G47"/>
    </row>
    <row r="48" spans="1:7" s="22" customFormat="1" x14ac:dyDescent="0.25">
      <c r="B48" s="301"/>
      <c r="F48" s="275"/>
      <c r="G48"/>
    </row>
    <row r="49" spans="2:7" s="22" customFormat="1" x14ac:dyDescent="0.25">
      <c r="B49" s="301"/>
      <c r="F49" s="275"/>
      <c r="G49"/>
    </row>
    <row r="50" spans="2:7" s="22" customFormat="1" x14ac:dyDescent="0.25">
      <c r="B50" s="301"/>
      <c r="F50" s="275"/>
      <c r="G50"/>
    </row>
    <row r="51" spans="2:7" s="22" customFormat="1" x14ac:dyDescent="0.25">
      <c r="B51" s="301"/>
      <c r="F51" s="275"/>
      <c r="G51"/>
    </row>
    <row r="52" spans="2:7" s="22" customFormat="1" x14ac:dyDescent="0.25">
      <c r="B52" s="301"/>
      <c r="F52" s="275"/>
      <c r="G52"/>
    </row>
    <row r="53" spans="2:7" s="22" customFormat="1" x14ac:dyDescent="0.25">
      <c r="B53" s="301"/>
      <c r="F53" s="275"/>
      <c r="G53"/>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A77B-E2C1-4EEE-A7D0-0CCFDB1B9D79}">
  <dimension ref="A1:I33"/>
  <sheetViews>
    <sheetView zoomScaleNormal="100" workbookViewId="0">
      <pane xSplit="1" ySplit="4" topLeftCell="B5" activePane="bottomRight" state="frozen"/>
      <selection activeCell="D46" sqref="D46"/>
      <selection pane="topRight" activeCell="D46" sqref="D46"/>
      <selection pane="bottomLeft" activeCell="D46" sqref="D46"/>
      <selection pane="bottomRight" activeCell="C5" sqref="C5:C13"/>
    </sheetView>
  </sheetViews>
  <sheetFormatPr defaultRowHeight="15" outlineLevelRow="1" x14ac:dyDescent="0.25"/>
  <cols>
    <col min="1" max="1" width="9.5703125" style="22" bestFit="1" customWidth="1"/>
    <col min="2" max="2" width="114.28515625" style="22" customWidth="1"/>
    <col min="3" max="3" width="18.85546875" customWidth="1"/>
    <col min="4" max="4" width="25.42578125" style="853" customWidth="1"/>
    <col min="5" max="5" width="24.28515625" style="853" customWidth="1"/>
    <col min="6" max="6" width="24" customWidth="1"/>
    <col min="7" max="7" width="62.140625" customWidth="1"/>
    <col min="8" max="8" width="12" bestFit="1" customWidth="1"/>
    <col min="9" max="9" width="12.5703125" bestFit="1" customWidth="1"/>
  </cols>
  <sheetData>
    <row r="1" spans="1:6" ht="15.75" x14ac:dyDescent="0.3">
      <c r="A1" s="23" t="s">
        <v>41</v>
      </c>
      <c r="B1" s="25" t="str">
        <f>Info!C2</f>
        <v>სს სილქ ბანკი</v>
      </c>
    </row>
    <row r="2" spans="1:6" s="23" customFormat="1" ht="15.75" customHeight="1" x14ac:dyDescent="0.3">
      <c r="A2" s="23" t="s">
        <v>42</v>
      </c>
      <c r="B2" s="26">
        <f>'1. key ratios'!B2</f>
        <v>45382</v>
      </c>
      <c r="C2"/>
      <c r="D2" s="853"/>
      <c r="E2" s="853"/>
      <c r="F2"/>
    </row>
    <row r="3" spans="1:6" s="23" customFormat="1" ht="15.75" customHeight="1" x14ac:dyDescent="0.3">
      <c r="C3"/>
      <c r="D3" s="853"/>
      <c r="E3" s="853"/>
      <c r="F3"/>
    </row>
    <row r="4" spans="1:6" s="23" customFormat="1" ht="40.5" customHeight="1" thickBot="1" x14ac:dyDescent="0.35">
      <c r="A4" s="23" t="s">
        <v>297</v>
      </c>
      <c r="B4" s="302" t="s">
        <v>19</v>
      </c>
      <c r="C4" s="280" t="s">
        <v>238</v>
      </c>
      <c r="D4" s="853"/>
      <c r="E4" s="853"/>
      <c r="F4"/>
    </row>
    <row r="5" spans="1:6" ht="27" x14ac:dyDescent="0.25">
      <c r="A5" s="303">
        <v>1</v>
      </c>
      <c r="B5" s="304" t="s">
        <v>298</v>
      </c>
      <c r="C5" s="305">
        <f>'7. LI1'!E37</f>
        <v>179252161.87207487</v>
      </c>
      <c r="D5" s="848"/>
      <c r="E5" s="848"/>
    </row>
    <row r="6" spans="1:6" x14ac:dyDescent="0.25">
      <c r="A6" s="307">
        <v>2.1</v>
      </c>
      <c r="B6" s="308" t="s">
        <v>299</v>
      </c>
      <c r="C6" s="309">
        <v>6876038.9307002872</v>
      </c>
      <c r="D6" s="848"/>
      <c r="E6" s="848"/>
    </row>
    <row r="7" spans="1:6" s="262" customFormat="1" ht="27" outlineLevel="1" x14ac:dyDescent="0.25">
      <c r="A7" s="310">
        <v>2.2000000000000002</v>
      </c>
      <c r="B7" s="311" t="s">
        <v>300</v>
      </c>
      <c r="C7" s="312">
        <f>'4. Off-balance'!E32+'4. Off-balance'!E31</f>
        <v>17486800</v>
      </c>
      <c r="D7" s="854"/>
      <c r="E7" s="854"/>
    </row>
    <row r="8" spans="1:6" s="262" customFormat="1" ht="27" x14ac:dyDescent="0.25">
      <c r="A8" s="310">
        <v>3</v>
      </c>
      <c r="B8" s="313" t="s">
        <v>301</v>
      </c>
      <c r="C8" s="314">
        <f>SUM(C5:C7)</f>
        <v>203615000.80277514</v>
      </c>
      <c r="D8" s="854"/>
      <c r="E8" s="854"/>
    </row>
    <row r="9" spans="1:6" x14ac:dyDescent="0.25">
      <c r="A9" s="307">
        <v>4</v>
      </c>
      <c r="B9" s="315" t="s">
        <v>302</v>
      </c>
      <c r="C9" s="309">
        <v>0</v>
      </c>
      <c r="D9" s="848"/>
      <c r="E9" s="848"/>
    </row>
    <row r="10" spans="1:6" s="262" customFormat="1" ht="27" outlineLevel="1" x14ac:dyDescent="0.25">
      <c r="A10" s="310">
        <v>5.0999999999999996</v>
      </c>
      <c r="B10" s="311" t="s">
        <v>303</v>
      </c>
      <c r="C10" s="312">
        <f>-C6+'5. RWA'!C9</f>
        <v>-3238569.459033181</v>
      </c>
      <c r="D10" s="854"/>
      <c r="E10" s="854"/>
    </row>
    <row r="11" spans="1:6" s="262" customFormat="1" ht="27" outlineLevel="1" x14ac:dyDescent="0.25">
      <c r="A11" s="310">
        <v>5.2</v>
      </c>
      <c r="B11" s="311" t="s">
        <v>304</v>
      </c>
      <c r="C11" s="312">
        <f>-C7+'5. RWA'!C10</f>
        <v>-17137064</v>
      </c>
      <c r="D11" s="854"/>
      <c r="E11" s="854"/>
    </row>
    <row r="12" spans="1:6" s="262" customFormat="1" x14ac:dyDescent="0.25">
      <c r="A12" s="310">
        <v>6</v>
      </c>
      <c r="B12" s="316" t="s">
        <v>305</v>
      </c>
      <c r="C12" s="312"/>
      <c r="D12" s="854"/>
      <c r="E12" s="854"/>
    </row>
    <row r="13" spans="1:6" s="262" customFormat="1" ht="15.75" thickBot="1" x14ac:dyDescent="0.3">
      <c r="A13" s="317">
        <v>7</v>
      </c>
      <c r="B13" s="318" t="s">
        <v>306</v>
      </c>
      <c r="C13" s="319">
        <f>SUM(C8:C12)</f>
        <v>183239367.34374195</v>
      </c>
      <c r="D13" s="854"/>
      <c r="E13" s="854"/>
    </row>
    <row r="15" spans="1:6" ht="27" x14ac:dyDescent="0.25">
      <c r="B15" s="128" t="s">
        <v>307</v>
      </c>
      <c r="C15" s="320"/>
    </row>
    <row r="17" spans="2:9" s="22" customFormat="1" x14ac:dyDescent="0.25">
      <c r="B17" s="321"/>
      <c r="C17"/>
      <c r="D17" s="853"/>
      <c r="E17" s="853"/>
      <c r="F17"/>
      <c r="G17"/>
      <c r="H17"/>
      <c r="I17"/>
    </row>
    <row r="18" spans="2:9" s="22" customFormat="1" x14ac:dyDescent="0.25">
      <c r="B18" s="322"/>
      <c r="C18"/>
      <c r="D18" s="853"/>
      <c r="E18" s="853"/>
      <c r="F18"/>
      <c r="G18"/>
      <c r="H18"/>
      <c r="I18"/>
    </row>
    <row r="19" spans="2:9" s="22" customFormat="1" x14ac:dyDescent="0.25">
      <c r="B19" s="322"/>
      <c r="C19"/>
      <c r="D19" s="853"/>
      <c r="E19" s="853"/>
      <c r="F19"/>
      <c r="G19"/>
      <c r="H19"/>
      <c r="I19"/>
    </row>
    <row r="20" spans="2:9" s="22" customFormat="1" x14ac:dyDescent="0.25">
      <c r="B20" s="301"/>
      <c r="C20"/>
      <c r="D20" s="853"/>
      <c r="E20" s="853"/>
      <c r="F20"/>
      <c r="G20"/>
      <c r="H20"/>
      <c r="I20"/>
    </row>
    <row r="21" spans="2:9" s="22" customFormat="1" x14ac:dyDescent="0.25">
      <c r="B21" s="300"/>
      <c r="C21"/>
      <c r="D21" s="853"/>
      <c r="E21" s="853"/>
      <c r="F21"/>
      <c r="G21"/>
      <c r="H21"/>
      <c r="I21"/>
    </row>
    <row r="22" spans="2:9" s="22" customFormat="1" x14ac:dyDescent="0.25">
      <c r="B22" s="243"/>
      <c r="C22"/>
      <c r="D22" s="853"/>
      <c r="E22" s="853"/>
      <c r="F22"/>
      <c r="G22"/>
      <c r="H22"/>
      <c r="I22"/>
    </row>
    <row r="23" spans="2:9" s="22" customFormat="1" x14ac:dyDescent="0.25">
      <c r="B23" s="300"/>
      <c r="C23"/>
      <c r="D23" s="853"/>
      <c r="E23" s="853"/>
      <c r="F23"/>
      <c r="G23"/>
      <c r="H23"/>
      <c r="I23"/>
    </row>
    <row r="24" spans="2:9" s="22" customFormat="1" x14ac:dyDescent="0.25">
      <c r="B24" s="300"/>
      <c r="C24"/>
      <c r="D24" s="853"/>
      <c r="E24" s="853"/>
      <c r="F24"/>
      <c r="G24"/>
      <c r="H24"/>
      <c r="I24"/>
    </row>
    <row r="25" spans="2:9" s="22" customFormat="1" x14ac:dyDescent="0.25">
      <c r="B25" s="300"/>
      <c r="C25"/>
      <c r="D25" s="853"/>
      <c r="E25" s="853"/>
      <c r="F25"/>
      <c r="G25"/>
      <c r="H25"/>
      <c r="I25"/>
    </row>
    <row r="26" spans="2:9" s="22" customFormat="1" x14ac:dyDescent="0.25">
      <c r="B26" s="300"/>
      <c r="C26"/>
      <c r="D26" s="853"/>
      <c r="E26" s="853"/>
      <c r="F26"/>
      <c r="G26"/>
      <c r="H26"/>
      <c r="I26"/>
    </row>
    <row r="27" spans="2:9" s="22" customFormat="1" x14ac:dyDescent="0.25">
      <c r="B27" s="300"/>
      <c r="C27"/>
      <c r="D27" s="853"/>
      <c r="E27" s="853"/>
      <c r="F27"/>
      <c r="G27"/>
      <c r="H27"/>
      <c r="I27"/>
    </row>
    <row r="28" spans="2:9" s="22" customFormat="1" x14ac:dyDescent="0.25">
      <c r="B28" s="301"/>
      <c r="C28"/>
      <c r="D28" s="853"/>
      <c r="E28" s="853"/>
      <c r="F28"/>
      <c r="G28"/>
      <c r="H28"/>
      <c r="I28"/>
    </row>
    <row r="29" spans="2:9" s="22" customFormat="1" x14ac:dyDescent="0.25">
      <c r="B29" s="301"/>
      <c r="C29"/>
      <c r="D29" s="853"/>
      <c r="E29" s="853"/>
      <c r="F29"/>
      <c r="G29"/>
      <c r="H29"/>
      <c r="I29"/>
    </row>
    <row r="30" spans="2:9" s="22" customFormat="1" x14ac:dyDescent="0.25">
      <c r="B30" s="301"/>
      <c r="C30"/>
      <c r="D30" s="853"/>
      <c r="E30" s="853"/>
      <c r="F30"/>
      <c r="G30"/>
      <c r="H30"/>
      <c r="I30"/>
    </row>
    <row r="31" spans="2:9" s="22" customFormat="1" x14ac:dyDescent="0.25">
      <c r="B31" s="301"/>
      <c r="C31"/>
      <c r="D31" s="853"/>
      <c r="E31" s="853"/>
      <c r="F31"/>
      <c r="G31"/>
      <c r="H31"/>
      <c r="I31"/>
    </row>
    <row r="32" spans="2:9" s="22" customFormat="1" x14ac:dyDescent="0.25">
      <c r="B32" s="301"/>
      <c r="C32"/>
      <c r="D32" s="853"/>
      <c r="E32" s="853"/>
      <c r="F32"/>
      <c r="G32"/>
      <c r="H32"/>
      <c r="I32"/>
    </row>
    <row r="33" spans="2:9" s="22" customFormat="1" x14ac:dyDescent="0.25">
      <c r="B33" s="301"/>
      <c r="C33"/>
      <c r="D33" s="853"/>
      <c r="E33" s="853"/>
      <c r="F33"/>
      <c r="G33"/>
      <c r="H33"/>
      <c r="I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2024-04-29T13:12:37Z</dcterms:created>
  <dcterms:modified xsi:type="dcterms:W3CDTF">2024-04-29T13:55:05Z</dcterms:modified>
</cp:coreProperties>
</file>